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com-my.sharepoint.com/personal/emuel_venter_aecom_com/Documents/Desktop/"/>
    </mc:Choice>
  </mc:AlternateContent>
  <xr:revisionPtr revIDLastSave="35" documentId="13_ncr:1_{F288B122-9DD6-40B2-8E56-2D798826F070}" xr6:coauthVersionLast="47" xr6:coauthVersionMax="47" xr10:uidLastSave="{2FD71F45-A054-418D-BF6A-928DA8F98D53}"/>
  <bookViews>
    <workbookView xWindow="28680" yWindow="-120" windowWidth="29040" windowHeight="15720" xr2:uid="{290FC1D3-7FBF-4C53-B51E-60022E558A8C}"/>
  </bookViews>
  <sheets>
    <sheet name="Cost Estimates" sheetId="2" r:id="rId1"/>
  </sheets>
  <externalReferences>
    <externalReference r:id="rId2"/>
  </externalReferences>
  <definedNames>
    <definedName name="OLE_LINK1" localSheetId="0">'Cost Estimates'!#REF!</definedName>
    <definedName name="OLE_LINK3" localSheetId="0">'Cost Estimates'!#REF!</definedName>
    <definedName name="OLE_LINK5" localSheetId="0">'Cost Estimates'!#REF!</definedName>
    <definedName name="_xlnm.Print_Area" localSheetId="0">'Cost Estimates'!$B$1:$AH$306</definedName>
    <definedName name="_xlnm.Print_Titles" localSheetId="0">'Cost Estimates'!#REF!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94" i="2" l="1"/>
  <c r="H174" i="2"/>
  <c r="N233" i="2" l="1"/>
  <c r="N234" i="2"/>
  <c r="N235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60" i="2"/>
  <c r="N261" i="2"/>
  <c r="N265" i="2"/>
  <c r="N266" i="2"/>
  <c r="N267" i="2"/>
  <c r="N268" i="2"/>
  <c r="N269" i="2"/>
  <c r="N271" i="2"/>
  <c r="N272" i="2"/>
  <c r="N273" i="2"/>
  <c r="N274" i="2"/>
  <c r="N278" i="2"/>
  <c r="N279" i="2"/>
  <c r="N280" i="2"/>
  <c r="N281" i="2"/>
  <c r="N282" i="2"/>
  <c r="N284" i="2"/>
  <c r="N289" i="2"/>
  <c r="N290" i="2"/>
  <c r="N296" i="2"/>
  <c r="N297" i="2"/>
  <c r="N299" i="2"/>
  <c r="N300" i="2"/>
  <c r="N301" i="2"/>
  <c r="K275" i="2"/>
  <c r="P275" i="2"/>
  <c r="P276" i="2" s="1"/>
  <c r="L303" i="2"/>
  <c r="K303" i="2"/>
  <c r="N303" i="2" s="1"/>
  <c r="J303" i="2"/>
  <c r="L302" i="2"/>
  <c r="K302" i="2"/>
  <c r="N302" i="2" s="1"/>
  <c r="J302" i="2"/>
  <c r="L301" i="2"/>
  <c r="L300" i="2"/>
  <c r="L298" i="2"/>
  <c r="K298" i="2"/>
  <c r="J298" i="2"/>
  <c r="L297" i="2"/>
  <c r="L296" i="2"/>
  <c r="L295" i="2"/>
  <c r="K295" i="2"/>
  <c r="D295" i="2"/>
  <c r="J295" i="2" s="1"/>
  <c r="N295" i="2" s="1"/>
  <c r="L294" i="2"/>
  <c r="K294" i="2"/>
  <c r="D294" i="2"/>
  <c r="J294" i="2" s="1"/>
  <c r="L293" i="2"/>
  <c r="K293" i="2"/>
  <c r="J293" i="2"/>
  <c r="L292" i="2"/>
  <c r="K292" i="2"/>
  <c r="J292" i="2"/>
  <c r="L291" i="2"/>
  <c r="K291" i="2"/>
  <c r="J291" i="2"/>
  <c r="L290" i="2"/>
  <c r="L288" i="2"/>
  <c r="K288" i="2"/>
  <c r="N288" i="2" s="1"/>
  <c r="J288" i="2"/>
  <c r="L287" i="2"/>
  <c r="K287" i="2"/>
  <c r="J287" i="2"/>
  <c r="L286" i="2"/>
  <c r="K286" i="2"/>
  <c r="J286" i="2"/>
  <c r="L285" i="2"/>
  <c r="K285" i="2"/>
  <c r="J285" i="2"/>
  <c r="L284" i="2"/>
  <c r="K284" i="2"/>
  <c r="J284" i="2"/>
  <c r="L283" i="2"/>
  <c r="K283" i="2"/>
  <c r="N283" i="2" s="1"/>
  <c r="J283" i="2"/>
  <c r="L277" i="2"/>
  <c r="K277" i="2"/>
  <c r="J277" i="2"/>
  <c r="L276" i="2"/>
  <c r="K276" i="2"/>
  <c r="D276" i="2"/>
  <c r="J276" i="2" s="1"/>
  <c r="L275" i="2"/>
  <c r="D275" i="2"/>
  <c r="J275" i="2" s="1"/>
  <c r="L274" i="2"/>
  <c r="L270" i="2"/>
  <c r="K270" i="2"/>
  <c r="J270" i="2"/>
  <c r="N270" i="2" s="1"/>
  <c r="L264" i="2"/>
  <c r="K264" i="2"/>
  <c r="N264" i="2" s="1"/>
  <c r="J264" i="2"/>
  <c r="L263" i="2"/>
  <c r="K263" i="2"/>
  <c r="D263" i="2"/>
  <c r="J263" i="2" s="1"/>
  <c r="L262" i="2"/>
  <c r="K262" i="2"/>
  <c r="D262" i="2"/>
  <c r="J262" i="2" s="1"/>
  <c r="L259" i="2"/>
  <c r="K259" i="2"/>
  <c r="J259" i="2"/>
  <c r="N259" i="2" s="1"/>
  <c r="L258" i="2"/>
  <c r="D249" i="2"/>
  <c r="L248" i="2"/>
  <c r="L247" i="2"/>
  <c r="L246" i="2"/>
  <c r="L242" i="2"/>
  <c r="K242" i="2"/>
  <c r="J242" i="2"/>
  <c r="L241" i="2"/>
  <c r="K241" i="2"/>
  <c r="N241" i="2" s="1"/>
  <c r="D241" i="2"/>
  <c r="J241" i="2" s="1"/>
  <c r="L240" i="2"/>
  <c r="K240" i="2"/>
  <c r="D240" i="2"/>
  <c r="J240" i="2" s="1"/>
  <c r="N240" i="2" s="1"/>
  <c r="L239" i="2"/>
  <c r="K239" i="2"/>
  <c r="L238" i="2"/>
  <c r="K238" i="2"/>
  <c r="D238" i="2"/>
  <c r="J238" i="2" s="1"/>
  <c r="L237" i="2"/>
  <c r="K237" i="2"/>
  <c r="D237" i="2"/>
  <c r="J237" i="2" s="1"/>
  <c r="L236" i="2"/>
  <c r="K236" i="2"/>
  <c r="D236" i="2"/>
  <c r="J236" i="2" s="1"/>
  <c r="N236" i="2" s="1"/>
  <c r="L234" i="2"/>
  <c r="L233" i="2"/>
  <c r="L229" i="2"/>
  <c r="L205" i="2"/>
  <c r="L204" i="2"/>
  <c r="L203" i="2"/>
  <c r="L202" i="2"/>
  <c r="L201" i="2"/>
  <c r="L200" i="2"/>
  <c r="L199" i="2"/>
  <c r="K199" i="2"/>
  <c r="D199" i="2"/>
  <c r="J199" i="2" s="1"/>
  <c r="L198" i="2"/>
  <c r="L197" i="2"/>
  <c r="L196" i="2"/>
  <c r="K196" i="2"/>
  <c r="J196" i="2"/>
  <c r="L195" i="2"/>
  <c r="K195" i="2"/>
  <c r="K220" i="2" s="1"/>
  <c r="K25" i="2" s="1"/>
  <c r="J195" i="2"/>
  <c r="AI181" i="2"/>
  <c r="L181" i="2"/>
  <c r="K181" i="2"/>
  <c r="D181" i="2"/>
  <c r="L180" i="2"/>
  <c r="L179" i="2"/>
  <c r="L178" i="2"/>
  <c r="K178" i="2"/>
  <c r="J178" i="2"/>
  <c r="L177" i="2"/>
  <c r="L176" i="2"/>
  <c r="K176" i="2"/>
  <c r="J176" i="2"/>
  <c r="L175" i="2"/>
  <c r="L174" i="2"/>
  <c r="L173" i="2"/>
  <c r="K173" i="2"/>
  <c r="J173" i="2"/>
  <c r="L158" i="2"/>
  <c r="L157" i="2"/>
  <c r="K157" i="2"/>
  <c r="D157" i="2"/>
  <c r="J157" i="2" s="1"/>
  <c r="L156" i="2"/>
  <c r="L155" i="2"/>
  <c r="L154" i="2"/>
  <c r="K154" i="2"/>
  <c r="D154" i="2"/>
  <c r="L153" i="2"/>
  <c r="L152" i="2"/>
  <c r="L151" i="2"/>
  <c r="K151" i="2"/>
  <c r="L150" i="2"/>
  <c r="K150" i="2"/>
  <c r="D150" i="2"/>
  <c r="J150" i="2" s="1"/>
  <c r="D149" i="2"/>
  <c r="J149" i="2" s="1"/>
  <c r="L132" i="2"/>
  <c r="K132" i="2"/>
  <c r="D132" i="2"/>
  <c r="J132" i="2" s="1"/>
  <c r="L131" i="2"/>
  <c r="L130" i="2"/>
  <c r="L129" i="2"/>
  <c r="L128" i="2"/>
  <c r="K128" i="2"/>
  <c r="D128" i="2"/>
  <c r="J128" i="2" s="1"/>
  <c r="L127" i="2"/>
  <c r="L126" i="2"/>
  <c r="L125" i="2"/>
  <c r="K125" i="2"/>
  <c r="L124" i="2"/>
  <c r="K124" i="2"/>
  <c r="L123" i="2"/>
  <c r="L122" i="2"/>
  <c r="L121" i="2"/>
  <c r="K121" i="2"/>
  <c r="L120" i="2"/>
  <c r="L119" i="2"/>
  <c r="L118" i="2"/>
  <c r="K118" i="2"/>
  <c r="L117" i="2"/>
  <c r="L116" i="2"/>
  <c r="L115" i="2"/>
  <c r="K115" i="2"/>
  <c r="D115" i="2"/>
  <c r="J115" i="2" s="1"/>
  <c r="L114" i="2"/>
  <c r="K114" i="2"/>
  <c r="L113" i="2"/>
  <c r="L112" i="2"/>
  <c r="L111" i="2"/>
  <c r="K111" i="2"/>
  <c r="L110" i="2"/>
  <c r="L109" i="2"/>
  <c r="L108" i="2"/>
  <c r="K108" i="2"/>
  <c r="D108" i="2"/>
  <c r="J108" i="2" s="1"/>
  <c r="L107" i="2"/>
  <c r="K107" i="2"/>
  <c r="L93" i="2"/>
  <c r="K93" i="2"/>
  <c r="J93" i="2"/>
  <c r="L92" i="2"/>
  <c r="K92" i="2"/>
  <c r="D92" i="2"/>
  <c r="J92" i="2" s="1"/>
  <c r="L91" i="2"/>
  <c r="K91" i="2"/>
  <c r="D91" i="2"/>
  <c r="J91" i="2" s="1"/>
  <c r="L90" i="2"/>
  <c r="L89" i="2"/>
  <c r="L88" i="2"/>
  <c r="K88" i="2"/>
  <c r="L86" i="2"/>
  <c r="K86" i="2"/>
  <c r="L85" i="2"/>
  <c r="L84" i="2"/>
  <c r="L83" i="2"/>
  <c r="L82" i="2"/>
  <c r="L81" i="2"/>
  <c r="K81" i="2"/>
  <c r="J81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K49" i="2"/>
  <c r="J49" i="2"/>
  <c r="L48" i="2"/>
  <c r="K48" i="2"/>
  <c r="J48" i="2"/>
  <c r="L43" i="2"/>
  <c r="K43" i="2"/>
  <c r="J43" i="2"/>
  <c r="L42" i="2"/>
  <c r="K42" i="2"/>
  <c r="J42" i="2"/>
  <c r="L41" i="2"/>
  <c r="K41" i="2"/>
  <c r="J41" i="2"/>
  <c r="L40" i="2"/>
  <c r="K40" i="2"/>
  <c r="K71" i="2" s="1"/>
  <c r="K20" i="2" s="1"/>
  <c r="J40" i="2"/>
  <c r="J71" i="2" s="1"/>
  <c r="J20" i="2" s="1"/>
  <c r="L71" i="2" l="1"/>
  <c r="N291" i="2"/>
  <c r="N276" i="2"/>
  <c r="N292" i="2"/>
  <c r="N242" i="2"/>
  <c r="N277" i="2"/>
  <c r="N293" i="2"/>
  <c r="N285" i="2"/>
  <c r="N262" i="2"/>
  <c r="N298" i="2"/>
  <c r="D151" i="2"/>
  <c r="J151" i="2" s="1"/>
  <c r="J181" i="2"/>
  <c r="K160" i="2"/>
  <c r="K23" i="2" s="1"/>
  <c r="N275" i="2"/>
  <c r="N294" i="2"/>
  <c r="N237" i="2"/>
  <c r="N238" i="2"/>
  <c r="N263" i="2"/>
  <c r="K135" i="2"/>
  <c r="K22" i="2" s="1"/>
  <c r="L160" i="2"/>
  <c r="L23" i="2" s="1"/>
  <c r="N286" i="2"/>
  <c r="D239" i="2"/>
  <c r="J239" i="2" s="1"/>
  <c r="N239" i="2" s="1"/>
  <c r="D118" i="2"/>
  <c r="J118" i="2" s="1"/>
  <c r="K305" i="2"/>
  <c r="K26" i="2" s="1"/>
  <c r="N287" i="2"/>
  <c r="L135" i="2"/>
  <c r="D86" i="2"/>
  <c r="J154" i="2"/>
  <c r="J160" i="2" s="1"/>
  <c r="J23" i="2" s="1"/>
  <c r="L95" i="2"/>
  <c r="L220" i="2"/>
  <c r="L20" i="2"/>
  <c r="L72" i="2"/>
  <c r="K95" i="2"/>
  <c r="K21" i="2" s="1"/>
  <c r="J220" i="2"/>
  <c r="J25" i="2" s="1"/>
  <c r="L183" i="2"/>
  <c r="L305" i="2"/>
  <c r="K183" i="2"/>
  <c r="K24" i="2" s="1"/>
  <c r="J183" i="2"/>
  <c r="J24" i="2" s="1"/>
  <c r="L161" i="2" l="1"/>
  <c r="J305" i="2"/>
  <c r="J26" i="2" s="1"/>
  <c r="K27" i="2"/>
  <c r="L96" i="2"/>
  <c r="L21" i="2"/>
  <c r="L306" i="2"/>
  <c r="L26" i="2"/>
  <c r="D88" i="2"/>
  <c r="J88" i="2" s="1"/>
  <c r="D107" i="2"/>
  <c r="D114" i="2"/>
  <c r="J114" i="2" s="1"/>
  <c r="J86" i="2"/>
  <c r="J95" i="2" s="1"/>
  <c r="J21" i="2" s="1"/>
  <c r="D111" i="2"/>
  <c r="J111" i="2" s="1"/>
  <c r="L136" i="2"/>
  <c r="L22" i="2"/>
  <c r="L25" i="2"/>
  <c r="L221" i="2"/>
  <c r="L24" i="2"/>
  <c r="L184" i="2"/>
  <c r="N305" i="2" l="1"/>
  <c r="L27" i="2"/>
  <c r="P28" i="2" s="1"/>
  <c r="K28" i="2"/>
  <c r="K29" i="2" s="1"/>
  <c r="O28" i="2"/>
  <c r="L28" i="2"/>
  <c r="J107" i="2"/>
  <c r="D124" i="2"/>
  <c r="D121" i="2"/>
  <c r="J121" i="2" s="1"/>
  <c r="K30" i="2" l="1"/>
  <c r="J124" i="2"/>
  <c r="D125" i="2"/>
  <c r="J125" i="2" s="1"/>
  <c r="L29" i="2"/>
  <c r="L30" i="2" s="1"/>
  <c r="J135" i="2" l="1"/>
  <c r="J22" i="2" s="1"/>
  <c r="J27" i="2" s="1"/>
  <c r="N28" i="2" s="1"/>
  <c r="J28" i="2" l="1"/>
  <c r="J29" i="2" s="1"/>
  <c r="J3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tc={1DA3E435-8AA7-4E47-987E-25D66E05126D}</author>
    <author>tc={64499F5C-45C5-4F24-BBC5-D254B6510259}</author>
    <author>tc={5EF43BAB-421B-400A-A520-44D436CDB0D8}</author>
    <author>tc={CC93AD13-10D6-4994-B577-10016307D3F0}</author>
    <author>tc={BF8DD0F7-E3AE-44AE-8920-DD8635DD0999}</author>
  </authors>
  <commentList>
    <comment ref="D108" authorId="0" shapeId="0" xr:uid="{1DA3E435-8AA7-4E47-987E-25D66E05126D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to 75mm</t>
      </text>
    </comment>
    <comment ref="W108" authorId="1" shapeId="0" xr:uid="{64499F5C-45C5-4F24-BBC5-D254B6510259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to 75mm</t>
      </text>
    </comment>
    <comment ref="D173" authorId="2" shapeId="0" xr:uid="{5EF43BAB-421B-400A-A520-44D436CDB0D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Reduced from 3500
</t>
      </text>
    </comment>
    <comment ref="D178" authorId="3" shapeId="0" xr:uid="{CC93AD13-10D6-4994-B577-10016307D3F0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from 29</t>
      </text>
    </comment>
    <comment ref="W178" authorId="4" shapeId="0" xr:uid="{BF8DD0F7-E3AE-44AE-8920-DD8635DD0999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from 29</t>
      </text>
    </comment>
  </commentList>
</comments>
</file>

<file path=xl/sharedStrings.xml><?xml version="1.0" encoding="utf-8"?>
<sst xmlns="http://schemas.openxmlformats.org/spreadsheetml/2006/main" count="424" uniqueCount="217">
  <si>
    <r>
      <t>t</t>
    </r>
    <r>
      <rPr>
        <sz val="10"/>
        <color rgb="FF000000"/>
        <rFont val="Gill Sans MT"/>
        <family val="2"/>
      </rPr>
      <t>: +27 (0) 21 914 5960</t>
    </r>
  </si>
  <si>
    <t>office f14 first floor</t>
  </si>
  <si>
    <r>
      <t>s</t>
    </r>
    <r>
      <rPr>
        <sz val="10"/>
        <color rgb="FF000000"/>
        <rFont val="Gill Sans MT"/>
        <family val="2"/>
      </rPr>
      <t>: 0861 r</t>
    </r>
    <r>
      <rPr>
        <sz val="10"/>
        <color rgb="FF000000"/>
        <rFont val="Arial"/>
        <family val="2"/>
      </rPr>
      <t>−</t>
    </r>
    <r>
      <rPr>
        <sz val="10"/>
        <color rgb="FF000000"/>
        <rFont val="Gill Sans MT"/>
        <family val="2"/>
      </rPr>
      <t>gitek</t>
    </r>
  </si>
  <si>
    <t>willowbridge shopping centre</t>
  </si>
  <si>
    <r>
      <t>e</t>
    </r>
    <r>
      <rPr>
        <sz val="10"/>
        <color rgb="FF000000"/>
        <rFont val="Gill Sans MT"/>
        <family val="2"/>
      </rPr>
      <t>: info@bpas.co.za</t>
    </r>
  </si>
  <si>
    <t>39 carl cronje drive</t>
  </si>
  <si>
    <r>
      <t>w</t>
    </r>
    <r>
      <rPr>
        <sz val="10"/>
        <color rgb="FF000000"/>
        <rFont val="Gill Sans MT"/>
        <family val="2"/>
      </rPr>
      <t>: www.bpas.co.za</t>
    </r>
  </si>
  <si>
    <t>tygervalley 7530</t>
  </si>
  <si>
    <t>TruFormLandscape Architects</t>
  </si>
  <si>
    <t>Project: 486 - WCID Goewerneur Park</t>
  </si>
  <si>
    <t xml:space="preserve">SOFT &amp; HARD LANDSCAPING AND IRRIGATION WORKS </t>
  </si>
  <si>
    <t>Revised plan</t>
  </si>
  <si>
    <t>Original</t>
  </si>
  <si>
    <t>Description</t>
  </si>
  <si>
    <t>AMOUNT</t>
  </si>
  <si>
    <t xml:space="preserve">PRELIMINARIES &amp; GENERAL </t>
  </si>
  <si>
    <t>EARTHWORKS + INSTALLATIONS FOR LANDSCAPE WORKS</t>
  </si>
  <si>
    <t>PLANTING MATERIAL, MEDIUM AND ELEMENTS</t>
  </si>
  <si>
    <t>PLANTING WORKS</t>
  </si>
  <si>
    <t>PLANT LIST</t>
  </si>
  <si>
    <t xml:space="preserve">IRRIGATION </t>
  </si>
  <si>
    <t>HARD LANDSCAPING</t>
  </si>
  <si>
    <t>Sub-total</t>
  </si>
  <si>
    <t>10% Contingency allowance</t>
  </si>
  <si>
    <t>15% VAT</t>
  </si>
  <si>
    <t>Total</t>
  </si>
  <si>
    <t>Interrogated and corrected</t>
  </si>
  <si>
    <t xml:space="preserve">BILL OF QUANTITIES  </t>
  </si>
  <si>
    <t>Latest rates (Rev 1)</t>
  </si>
  <si>
    <t>Original rates</t>
  </si>
  <si>
    <t>BILL NO.</t>
  </si>
  <si>
    <t>DESCRIPTION</t>
  </si>
  <si>
    <t>QTY</t>
  </si>
  <si>
    <t>UNIT</t>
  </si>
  <si>
    <t>RATE</t>
  </si>
  <si>
    <t>Preliminaries</t>
  </si>
  <si>
    <t>Make provision for all contractual requirements, guarantees and ancillary cost . These are all to be Listed these as addendum to tender.</t>
  </si>
  <si>
    <t>sum</t>
  </si>
  <si>
    <t>Cost to establish facilities on site (office, ablutions, etc)</t>
  </si>
  <si>
    <t>Cost of removal of facilities on site (office, ablutions, etc)</t>
  </si>
  <si>
    <t>Cost to establish a temporary holding nursery on site, if required. Providing sufficient security and maintenance during this period</t>
  </si>
  <si>
    <t>Note: Include the temporary holding nursery - City requires transplanting</t>
  </si>
  <si>
    <t>Documentation</t>
  </si>
  <si>
    <t>Provision and compliance with all health and safety requirements as specified by the main contractor.</t>
  </si>
  <si>
    <t>Provision and compliance with all environmental legislation (reports, permits, licences, etc)  as specified by the main contractor.</t>
  </si>
  <si>
    <t>Dayworks</t>
  </si>
  <si>
    <t>Rates provided for labour to be claimed at cost and meet the minimum requirements as set out by the industry and Labour law</t>
  </si>
  <si>
    <t>Foreman's hourly rate</t>
  </si>
  <si>
    <t>hr</t>
  </si>
  <si>
    <t>Foreman's daily rate</t>
  </si>
  <si>
    <t>day</t>
  </si>
  <si>
    <t>Skilled Labour's hourly rate</t>
  </si>
  <si>
    <t>Skilled Labour's daily rate</t>
  </si>
  <si>
    <t>Unskilled Labour's hourly rate</t>
  </si>
  <si>
    <t>Unskilled Labour's daily rate</t>
  </si>
  <si>
    <t>Rates provided for material to be claimed at cost:</t>
  </si>
  <si>
    <t xml:space="preserve">Percentage (%) markup on soft landscape material </t>
  </si>
  <si>
    <t>%</t>
  </si>
  <si>
    <t>Percentage (%) markup on hard landscaping material</t>
  </si>
  <si>
    <t>Percentage (%) markup on landscape features &amp; elements</t>
  </si>
  <si>
    <t>Rates provided for plant and equipment hire to be claimed at cost:</t>
  </si>
  <si>
    <t>Percentage (%) markup on plant hire</t>
  </si>
  <si>
    <t>Transport and dumping of organic material and waste at registered dump site.</t>
  </si>
  <si>
    <r>
      <t>m</t>
    </r>
    <r>
      <rPr>
        <vertAlign val="superscript"/>
        <sz val="10"/>
        <color indexed="8"/>
        <rFont val="Aptos Narrow"/>
        <family val="2"/>
        <scheme val="minor"/>
      </rPr>
      <t>3</t>
    </r>
  </si>
  <si>
    <t>Transport and dumping of rubble/ stone, waste or other inorganic material at registered dump site</t>
  </si>
  <si>
    <t>TOTAL FOR Bill No 1.0</t>
  </si>
  <si>
    <t xml:space="preserve">Carry to Summary Page </t>
  </si>
  <si>
    <t>Cleaning of soil as directed below:</t>
  </si>
  <si>
    <t>Cleaning contaminated landscape areas, of any form of rubble and all foreign materials. All cleared material to be transported to a registered dump site and disposed of correctly.</t>
  </si>
  <si>
    <r>
      <t>m</t>
    </r>
    <r>
      <rPr>
        <vertAlign val="superscript"/>
        <sz val="10"/>
        <rFont val="Aptos Narrow"/>
        <family val="2"/>
        <scheme val="minor"/>
      </rPr>
      <t>3</t>
    </r>
  </si>
  <si>
    <r>
      <t>Excavate of in-situ soil</t>
    </r>
    <r>
      <rPr>
        <sz val="10"/>
        <rFont val="Aptos Narrow"/>
        <family val="2"/>
        <scheme val="minor"/>
      </rPr>
      <t xml:space="preserve"> </t>
    </r>
  </si>
  <si>
    <t>Trees</t>
  </si>
  <si>
    <t xml:space="preserve">Excavate 100L tree holes for planting in soft landscape areas - The volume is calculated from the quantity of trees by the specified size of the hole (1,5 x 1,5 x 1,5m) </t>
  </si>
  <si>
    <t>Distribute and shape unwanted excavated material from tree holes (50%) to site as directed by the Landscape Architect</t>
  </si>
  <si>
    <t>Site preperation</t>
  </si>
  <si>
    <t>Allow for rough shaping of all  planting areas before planting medium is installed to the satisfaction of the landscape architect.</t>
  </si>
  <si>
    <t>m²</t>
  </si>
  <si>
    <t>Allow for fine shaping of all planting areas once planting medium is installed to the satisfaction of the landscape architect.</t>
  </si>
  <si>
    <t>Removal of existing Yucas</t>
  </si>
  <si>
    <t>ea</t>
  </si>
  <si>
    <t>TOTAL FOR Bill No 2.0</t>
  </si>
  <si>
    <t>Samples of all material, medium &amp; elements must be provided for approval by the landscape architect</t>
  </si>
  <si>
    <t>Supply &amp; deliver imported compost as per specifications</t>
  </si>
  <si>
    <t>Medium compost  (Reliance or similarly approved) for tree at 50% of hole volume</t>
  </si>
  <si>
    <r>
      <t xml:space="preserve">Medium compost  (Reliance or similarly approved) to Planters (100mm layer across planting areas </t>
    </r>
    <r>
      <rPr>
        <b/>
        <sz val="10"/>
        <rFont val="Aptos Narrow"/>
        <family val="2"/>
        <scheme val="minor"/>
      </rPr>
      <t>)</t>
    </r>
  </si>
  <si>
    <t>Supply &amp; install Imported topsoil as per specifications</t>
  </si>
  <si>
    <t>Supply &amp; install (Reliance or similarly approved) topsoil for trees at 50% of hole volume</t>
  </si>
  <si>
    <t>Supply &amp; install organic fertiliser as per specifications:</t>
  </si>
  <si>
    <t>Organic fertilisers for trees (Neutrog: Bounce Back or similarly approved) at 1kg / m³</t>
  </si>
  <si>
    <t>kg</t>
  </si>
  <si>
    <t>Organic fertilisers for planting areas (Neutrog: Bounce Back or similarly approved) at 0.250kg /  m²</t>
  </si>
  <si>
    <t>Planter preparation:</t>
  </si>
  <si>
    <t>Spread compost across planting area to a thickness of 100mm and work into ground 300mm or spade depth.</t>
  </si>
  <si>
    <t>Tree, Shrub/ ground cover planting areas preparation</t>
  </si>
  <si>
    <t>Mix and place medium in tree pits, 50%:50% in-situ top soil : compost including organic fertiliser as specified.</t>
  </si>
  <si>
    <t>Soil inoculent Metabolic Activator</t>
  </si>
  <si>
    <t>Supply metabolic activator, (Symbex or similarly approved)</t>
  </si>
  <si>
    <t>ltr</t>
  </si>
  <si>
    <t>Apply 'Symbex' mixing: Mix metabolic activator with water to manufacturers instructions:  50ml:2l(water) . Apply to manufacturers (Agro-Hytec) instructions.</t>
  </si>
  <si>
    <t>Post planting</t>
  </si>
  <si>
    <t xml:space="preserve">Supply and install medium mulch  (Reliance or approved equivalent) , 50mm thick across planted areas (sample for landscape architects approval) </t>
  </si>
  <si>
    <t>Other</t>
  </si>
  <si>
    <t>Supply and install root/mole barrier or approved equivalent, to all trees within or near paving. Product to be installed according to manufacturers specifications and detail.</t>
  </si>
  <si>
    <t>lm</t>
  </si>
  <si>
    <t>TOTAL FOR Bill No 3.0</t>
  </si>
  <si>
    <t>NOTE</t>
  </si>
  <si>
    <t>Excavate into prepared planting medium, apply relevant fertilisers &amp; soil additive, place plant, backfill, compact and level surplus soil for :</t>
  </si>
  <si>
    <t>PLANT INSTALLATION</t>
  </si>
  <si>
    <t>4kg</t>
  </si>
  <si>
    <t>No.</t>
  </si>
  <si>
    <t>plug</t>
  </si>
  <si>
    <t>lawn</t>
  </si>
  <si>
    <t>m2</t>
  </si>
  <si>
    <t xml:space="preserve">Tree planting </t>
  </si>
  <si>
    <t xml:space="preserve">Apply relevant fertilisers &amp; soil additive to prepared soil medium, place plant, backfill, compact and level surplus soil for :
</t>
  </si>
  <si>
    <t>100ltr tree</t>
  </si>
  <si>
    <t>Plant support</t>
  </si>
  <si>
    <t>Supply and install tree stakes and ties:  2 x 75mm∅ and 2400mm long SA Pine tanalith treated poles with 2 x 75x38x800 mm∅ treated timber horizontal members, screwed to poles. Trees to be fastened to horizontal members with an approved 25mm rubber chain lock</t>
  </si>
  <si>
    <t>TOTAL FOR Bill No 4.0</t>
  </si>
  <si>
    <t>Tendered rates  for plants to include the cost of supply and delivery: transport, handling, quality control, temporary holding and mark-up.</t>
  </si>
  <si>
    <t>6pk, plug tray and eco tray quantities are for numbers of plantlets and not trays</t>
  </si>
  <si>
    <t>Shrubs</t>
  </si>
  <si>
    <t>Bristle Nursery</t>
  </si>
  <si>
    <t>Ground covers</t>
  </si>
  <si>
    <t>By CID</t>
  </si>
  <si>
    <t>Combretum kraussii</t>
  </si>
  <si>
    <t>100ltr</t>
  </si>
  <si>
    <t>Note: Rev1 drawing shows 19 trees not 32. Reduce the quantity. See 4.2 and 4.3 above.</t>
  </si>
  <si>
    <t>Lawn</t>
  </si>
  <si>
    <t>Cynodon dactylon</t>
  </si>
  <si>
    <t>TOTAL FOR Bill No 5</t>
  </si>
  <si>
    <t xml:space="preserve">Total carried to Summary Page </t>
  </si>
  <si>
    <t>Valve box preparation</t>
  </si>
  <si>
    <t>Supply and install A2 geotextile below each valve box.</t>
  </si>
  <si>
    <t>Supply and install  a 50mm layer of 13mm grey chipstone on the geotextile at the base of all the valve boxes.</t>
  </si>
  <si>
    <t>Automated irrigation system</t>
  </si>
  <si>
    <t>NB: CONTROLLER IS SITUATED AT THE ENTRANCE FOR THE ENTIRE ESTATE</t>
  </si>
  <si>
    <t>ANY DEVIATION FROM THE SPECIFIED MATERIAL WILL VOID THE DESIGN GUARANTEE</t>
  </si>
  <si>
    <t>COMPRESSION FITTINGS SHALL BE  TRUE PN 16 FITTINGS ( SAFETY FACTOR -3 )</t>
  </si>
  <si>
    <t>AND SHALL BE SABS AND KIWA CERTIFIED AND SHALL BEAR THE KIWA BRAND</t>
  </si>
  <si>
    <t>Notes: Original price of R45673.00 was a lumpsum - unrealistic</t>
  </si>
  <si>
    <t>The round number estimate of R620,000 for Revision 1 is similarly unrealistic</t>
  </si>
  <si>
    <t>Sluysken Park: R138,218 for 1,008 m2 area under irrigation - i.e. R137.12 / m2</t>
  </si>
  <si>
    <t>Sluysken Park R138,218 for 1822m2 (entire park area) - i.e. R75.86 / m2</t>
  </si>
  <si>
    <t xml:space="preserve">more appropriate to use effective area - i.e. R137.12 / m2 </t>
  </si>
  <si>
    <t>Escalate rate from 2024 to 2026 price (10%) - R137.12 x 1.10 = R150.83</t>
  </si>
  <si>
    <t>TOTAL FOR Bill No 6</t>
  </si>
  <si>
    <t>Prices to be include of supply, deliver and installation of all required material as per details provide by relevant consultants</t>
  </si>
  <si>
    <t>SAMPLES TO BE PROVIDED &amp; APPROVED BY LANDSCAPE ARCHITECT PRIOR TO INSTALLATION</t>
  </si>
  <si>
    <t>Surfacing (Supply &amp; Install)</t>
  </si>
  <si>
    <r>
      <t xml:space="preserve">"PlaySafe - Spectra" 15mm wet pour Styrene-butadiene Rubber (SBR) rubber surface, to manufacturers specifications </t>
    </r>
    <r>
      <rPr>
        <b/>
        <u/>
        <sz val="10"/>
        <rFont val="Aptos Narrow"/>
        <family val="2"/>
        <scheme val="minor"/>
      </rPr>
      <t>50 : 50 Orange &amp; yellow mix</t>
    </r>
  </si>
  <si>
    <r>
      <t xml:space="preserve">"PlaySafe - Spectra" 15mm wet pour Styrene-butadiene Rubber (SBR) rubber surface, to manufacturers specifications </t>
    </r>
    <r>
      <rPr>
        <b/>
        <u/>
        <sz val="10"/>
        <rFont val="Aptos Narrow"/>
        <family val="2"/>
        <scheme val="minor"/>
      </rPr>
      <t>Colour: Beige</t>
    </r>
  </si>
  <si>
    <r>
      <t xml:space="preserve">"PlaySafe - Spectra" 15mm wet pour Styrene-butadiene Rubber (SBR) rubber surface, to manufacturers specifications </t>
    </r>
    <r>
      <rPr>
        <b/>
        <u/>
        <sz val="10"/>
        <rFont val="Aptos Narrow"/>
        <family val="2"/>
        <scheme val="minor"/>
      </rPr>
      <t>Colour: Brown</t>
    </r>
  </si>
  <si>
    <t>Supply &amp; install 75mm layer of stabilised, 98% compacted G4 layer , Graded to fall.</t>
  </si>
  <si>
    <t>"PlaySafe - Spectra" 15mm wet pour Styrene-butadiene Rubber (SBR) Black rubber Crumb, to manufacturers specifications</t>
  </si>
  <si>
    <t>Shock pad 40mm</t>
  </si>
  <si>
    <t>Shock pad 60mm</t>
  </si>
  <si>
    <t>Note: Shock pads not provided in original cost estimate</t>
  </si>
  <si>
    <t>Built Structures.: Supply &amp; install material</t>
  </si>
  <si>
    <t>Concrete works for arranging rocks in splash pad, to be approved by Landscape Architect:</t>
  </si>
  <si>
    <t>Rock work in splash pad zone</t>
  </si>
  <si>
    <t>Water feature for splash pad.</t>
  </si>
  <si>
    <t>Submersable pump</t>
  </si>
  <si>
    <t>Bubblers/ fountains</t>
  </si>
  <si>
    <t>Note regarding splash pool:</t>
  </si>
  <si>
    <t>Splash pool was insufficiently provided for at R365.00  (rate of R2980 unclear)</t>
  </si>
  <si>
    <t>Ultimately not clear whether R85,000.00 would be sufficient</t>
  </si>
  <si>
    <t>Water feature removed from Revision 1 design</t>
  </si>
  <si>
    <t xml:space="preserve">Timber Pergola structure </t>
  </si>
  <si>
    <t>Note: Rev 1 design has no Pergola remove the 106m2 from quantity</t>
  </si>
  <si>
    <t>450x500mm Gabion Stone Wall</t>
  </si>
  <si>
    <t>Terraforce wall</t>
  </si>
  <si>
    <t>Shading</t>
  </si>
  <si>
    <t>units</t>
  </si>
  <si>
    <t>Note: Rev 1 design shows 5 No. shaded areas include it under "shading"</t>
  </si>
  <si>
    <t>Items marked in peach colour was omitted from the original cost estimate</t>
  </si>
  <si>
    <t>Allowance for JCB digger on site for earthworks and Boulder placement</t>
  </si>
  <si>
    <t>days</t>
  </si>
  <si>
    <t>Include JCB digger for both the original and the revised design</t>
  </si>
  <si>
    <t>Paving</t>
  </si>
  <si>
    <r>
      <t>Corobrik® Cedeberg Modular Paver (90</t>
    </r>
    <r>
      <rPr>
        <sz val="10"/>
        <rFont val="Calibri"/>
        <family val="2"/>
      </rPr>
      <t>˚</t>
    </r>
    <r>
      <rPr>
        <sz val="10"/>
        <rFont val="Aptos Narrow"/>
        <family val="2"/>
        <scheme val="minor"/>
      </rPr>
      <t xml:space="preserve"> Herringbone)-According to Engineers details.-Internal</t>
    </r>
  </si>
  <si>
    <t>Sidewalk around the park excluded initally.</t>
  </si>
  <si>
    <t xml:space="preserve">Corobrik® Burgundy Modular, Soldier pattern header course. </t>
  </si>
  <si>
    <t>Concrete pavers-Side walk</t>
  </si>
  <si>
    <t>Note: the cost of the Burgundy and side walk pavers appear unrealistically low</t>
  </si>
  <si>
    <t>The low rate is common to both options and cost difference will remain same</t>
  </si>
  <si>
    <t>Play equipment/Gym equipment</t>
  </si>
  <si>
    <t>Walking logs verticle( 10 at different heights )</t>
  </si>
  <si>
    <t>set of 10</t>
  </si>
  <si>
    <t xml:space="preserve">Walking planks at diferent slopes and angles </t>
  </si>
  <si>
    <t>Timber rambling logs</t>
  </si>
  <si>
    <t>Informal teen/deck seating</t>
  </si>
  <si>
    <t>Double swing move and refurbish</t>
  </si>
  <si>
    <t>Exercise equipment</t>
  </si>
  <si>
    <t>Street Furniture</t>
  </si>
  <si>
    <t>Wilsonstone 70L The Turin bin with fiberglass canopy lid. Colour: Grey</t>
  </si>
  <si>
    <t>unit</t>
  </si>
  <si>
    <t>1500mm x 450mm x 80mm, Wilsonstone The Turin precast bench. Colour: Grey.</t>
  </si>
  <si>
    <t xml:space="preserve">Picnic Bench-wilson stone </t>
  </si>
  <si>
    <t>67x210x1600mm Sugar gum and steel, Park entrance signs, chemically fastened and bolted to concrete footing.</t>
  </si>
  <si>
    <t>Laminated saligna and steel, Interactive park  signs, chemically fastened and bolted to concrete footing</t>
  </si>
  <si>
    <t>Lighting</t>
  </si>
  <si>
    <r>
      <t>Duel light post -Regent lighting "Argo" with charcoal painted post.</t>
    </r>
    <r>
      <rPr>
        <sz val="10"/>
        <color rgb="FFFF0000"/>
        <rFont val="Aptos Narrow"/>
        <family val="2"/>
        <scheme val="minor"/>
      </rPr>
      <t>EX ELECTRICAL</t>
    </r>
    <r>
      <rPr>
        <sz val="10"/>
        <rFont val="Aptos Narrow"/>
        <family val="2"/>
        <scheme val="minor"/>
      </rPr>
      <t xml:space="preserve"> WORK</t>
    </r>
  </si>
  <si>
    <t>Fencing</t>
  </si>
  <si>
    <t>1,2m fence</t>
  </si>
  <si>
    <t>Pedestian gate</t>
  </si>
  <si>
    <t>TOTAL FOR Bill No 7</t>
  </si>
  <si>
    <t>8.10</t>
  </si>
  <si>
    <t>8.11</t>
  </si>
  <si>
    <t>8.12</t>
  </si>
  <si>
    <t>8.13</t>
  </si>
  <si>
    <t>8.14</t>
  </si>
  <si>
    <t>8.15</t>
  </si>
  <si>
    <t>Adjusted Original</t>
  </si>
  <si>
    <t>VO</t>
  </si>
  <si>
    <t>Value got refined from m² rate to unit rates and a change in material.</t>
  </si>
  <si>
    <r>
      <t xml:space="preserve">Original 7000 Bristle and Install by Community Hence value was R0 for Goewerneur Park Budget
NOW - 5000, Bristle </t>
    </r>
    <r>
      <rPr>
        <b/>
        <sz val="11"/>
        <color rgb="FFFF0000"/>
        <rFont val="Aptos Narrow"/>
        <family val="2"/>
        <scheme val="minor"/>
      </rPr>
      <t>Install??</t>
    </r>
    <r>
      <rPr>
        <b/>
        <sz val="11"/>
        <color theme="0"/>
        <rFont val="Aptos Narrow"/>
        <family val="2"/>
        <scheme val="minor"/>
      </rPr>
      <t xml:space="preserve"> 2,000 was additional buy and install by Contractor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</si>
</sst>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&quot;R&quot;\ #,##0.00"/>
    <numFmt numFmtId="165" formatCode="_(* #,##0.00_);_(* \(#,##0.00\);_(* &quot;-&quot;??_);_(@_)"/>
    <numFmt numFmtId="166" formatCode="_(* #,##0_);_(* \(#,##0\);_(* &quot;-&quot;??_);_(@_)"/>
    <numFmt numFmtId="167" formatCode="&quot;R&quot;\ #,##0"/>
    <numFmt numFmtId="168" formatCode="&quot;R&quot;#,##0.00"/>
    <numFmt numFmtId="169" formatCode="0.0"/>
    <numFmt numFmtId="170" formatCode="&quot;R&quot;#,##0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0"/>
      <color rgb="FF000000"/>
      <name val="Gill Sans MT"/>
      <family val="2"/>
    </font>
    <font>
      <sz val="10"/>
      <color rgb="FF000000"/>
      <name val="Gill Sans MT"/>
      <family val="2"/>
    </font>
    <font>
      <sz val="10"/>
      <color rgb="FF000000"/>
      <name val="Arial"/>
      <family val="2"/>
    </font>
    <font>
      <b/>
      <sz val="24"/>
      <name val="Aptos Narrow"/>
      <family val="2"/>
      <scheme val="minor"/>
    </font>
    <font>
      <sz val="14"/>
      <name val="Aptos Narrow"/>
      <family val="2"/>
      <scheme val="minor"/>
    </font>
    <font>
      <b/>
      <sz val="16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name val="Aptos Narrow"/>
      <family val="2"/>
      <scheme val="minor"/>
    </font>
    <font>
      <b/>
      <sz val="20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rial"/>
      <family val="2"/>
    </font>
    <font>
      <b/>
      <sz val="14"/>
      <color indexed="8"/>
      <name val="Aptos Narrow"/>
      <family val="2"/>
      <scheme val="minor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2"/>
      <name val="Aptos Narrow"/>
      <family val="2"/>
      <scheme val="minor"/>
    </font>
    <font>
      <u/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u/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8"/>
      <color indexed="8"/>
      <name val="Aptos Narrow"/>
      <family val="2"/>
      <scheme val="minor"/>
    </font>
    <font>
      <vertAlign val="superscript"/>
      <sz val="10"/>
      <color indexed="8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b/>
      <u/>
      <sz val="10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u/>
      <sz val="16"/>
      <name val="Aptos Narrow"/>
      <family val="2"/>
      <scheme val="minor"/>
    </font>
    <font>
      <sz val="16"/>
      <name val="Aptos Narrow"/>
      <family val="2"/>
      <scheme val="minor"/>
    </font>
    <font>
      <b/>
      <u/>
      <sz val="9"/>
      <name val="Aptos Narrow"/>
      <family val="2"/>
      <scheme val="minor"/>
    </font>
    <font>
      <sz val="9"/>
      <name val="Aptos Narrow"/>
      <family val="2"/>
      <scheme val="minor"/>
    </font>
    <font>
      <b/>
      <u/>
      <sz val="10"/>
      <name val="Arial"/>
      <family val="2"/>
    </font>
    <font>
      <b/>
      <sz val="9"/>
      <name val="Aptos Narrow"/>
      <family val="2"/>
      <scheme val="minor"/>
    </font>
    <font>
      <b/>
      <u/>
      <sz val="12"/>
      <name val="Aptos Narrow"/>
      <family val="2"/>
      <scheme val="minor"/>
    </font>
    <font>
      <sz val="10"/>
      <name val="Calibri"/>
      <family val="2"/>
    </font>
    <font>
      <sz val="11"/>
      <color indexed="8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</cellStyleXfs>
  <cellXfs count="360">
    <xf numFmtId="0" fontId="0" fillId="0" borderId="0" xfId="0"/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1" fontId="4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 wrapText="1"/>
    </xf>
    <xf numFmtId="166" fontId="4" fillId="0" borderId="0" xfId="3" applyNumberFormat="1" applyFont="1" applyFill="1" applyAlignment="1">
      <alignment vertical="center" wrapText="1"/>
    </xf>
    <xf numFmtId="166" fontId="4" fillId="0" borderId="0" xfId="4" applyNumberFormat="1" applyFont="1" applyAlignment="1">
      <alignment horizontal="center" vertical="center" wrapText="1"/>
    </xf>
    <xf numFmtId="166" fontId="5" fillId="0" borderId="0" xfId="4" applyNumberFormat="1" applyFont="1" applyAlignment="1">
      <alignment horizontal="center"/>
    </xf>
    <xf numFmtId="166" fontId="5" fillId="0" borderId="0" xfId="4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1" fontId="11" fillId="0" borderId="0" xfId="2" applyNumberFormat="1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" fontId="11" fillId="0" borderId="1" xfId="2" applyNumberFormat="1" applyFont="1" applyBorder="1" applyAlignment="1">
      <alignment horizontal="center" vertical="center" wrapText="1"/>
    </xf>
    <xf numFmtId="1" fontId="11" fillId="0" borderId="2" xfId="2" applyNumberFormat="1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1" fontId="11" fillId="0" borderId="4" xfId="2" applyNumberFormat="1" applyFont="1" applyBorder="1" applyAlignment="1">
      <alignment horizontal="center" vertical="center" wrapText="1"/>
    </xf>
    <xf numFmtId="1" fontId="11" fillId="0" borderId="5" xfId="2" applyNumberFormat="1" applyFont="1" applyBorder="1" applyAlignment="1">
      <alignment horizontal="center" vertical="center" wrapText="1"/>
    </xf>
    <xf numFmtId="164" fontId="4" fillId="0" borderId="5" xfId="2" applyNumberFormat="1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" fontId="11" fillId="0" borderId="7" xfId="2" applyNumberFormat="1" applyFont="1" applyBorder="1" applyAlignment="1">
      <alignment horizontal="center" vertical="center" wrapText="1"/>
    </xf>
    <xf numFmtId="1" fontId="14" fillId="0" borderId="8" xfId="2" applyNumberFormat="1" applyFont="1" applyBorder="1" applyAlignment="1">
      <alignment horizontal="center" vertical="center" wrapText="1"/>
    </xf>
    <xf numFmtId="1" fontId="14" fillId="0" borderId="9" xfId="2" applyNumberFormat="1" applyFont="1" applyBorder="1" applyAlignment="1">
      <alignment horizontal="center" vertical="center" wrapText="1"/>
    </xf>
    <xf numFmtId="1" fontId="11" fillId="0" borderId="10" xfId="2" applyNumberFormat="1" applyFont="1" applyBorder="1" applyAlignment="1">
      <alignment horizontal="center" vertical="center" wrapText="1"/>
    </xf>
    <xf numFmtId="164" fontId="14" fillId="0" borderId="13" xfId="2" applyNumberFormat="1" applyFont="1" applyBorder="1" applyAlignment="1">
      <alignment horizontal="center" vertical="center" wrapText="1"/>
    </xf>
    <xf numFmtId="164" fontId="14" fillId="0" borderId="14" xfId="2" applyNumberFormat="1" applyFont="1" applyBorder="1" applyAlignment="1">
      <alignment horizontal="center" vertical="center" wrapText="1"/>
    </xf>
    <xf numFmtId="0" fontId="16" fillId="0" borderId="15" xfId="2" applyFont="1" applyBorder="1" applyAlignment="1">
      <alignment horizontal="center" vertical="top"/>
    </xf>
    <xf numFmtId="164" fontId="14" fillId="0" borderId="18" xfId="2" applyNumberFormat="1" applyFont="1" applyBorder="1" applyAlignment="1">
      <alignment horizontal="center" vertical="center" wrapText="1"/>
    </xf>
    <xf numFmtId="164" fontId="14" fillId="0" borderId="19" xfId="2" applyNumberFormat="1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/>
    </xf>
    <xf numFmtId="164" fontId="14" fillId="0" borderId="20" xfId="2" applyNumberFormat="1" applyFont="1" applyBorder="1" applyAlignment="1">
      <alignment horizontal="center" vertical="center" wrapText="1"/>
    </xf>
    <xf numFmtId="164" fontId="14" fillId="0" borderId="23" xfId="2" applyNumberFormat="1" applyFont="1" applyBorder="1" applyAlignment="1">
      <alignment horizontal="center" vertical="center" wrapText="1"/>
    </xf>
    <xf numFmtId="1" fontId="11" fillId="0" borderId="15" xfId="2" applyNumberFormat="1" applyFont="1" applyBorder="1" applyAlignment="1">
      <alignment horizontal="center" vertical="center" wrapText="1"/>
    </xf>
    <xf numFmtId="164" fontId="14" fillId="0" borderId="24" xfId="2" applyNumberFormat="1" applyFont="1" applyBorder="1" applyAlignment="1">
      <alignment horizontal="center" vertical="center" wrapText="1"/>
    </xf>
    <xf numFmtId="164" fontId="14" fillId="0" borderId="25" xfId="2" applyNumberFormat="1" applyFont="1" applyBorder="1" applyAlignment="1">
      <alignment horizontal="center" vertical="center" wrapText="1"/>
    </xf>
    <xf numFmtId="164" fontId="14" fillId="0" borderId="17" xfId="2" applyNumberFormat="1" applyFont="1" applyBorder="1" applyAlignment="1">
      <alignment horizontal="center" vertical="center" wrapText="1"/>
    </xf>
    <xf numFmtId="164" fontId="14" fillId="0" borderId="26" xfId="2" applyNumberFormat="1" applyFont="1" applyBorder="1" applyAlignment="1">
      <alignment horizontal="center" vertical="center" wrapText="1"/>
    </xf>
    <xf numFmtId="164" fontId="14" fillId="0" borderId="27" xfId="2" applyNumberFormat="1" applyFont="1" applyBorder="1" applyAlignment="1">
      <alignment horizontal="center" vertical="center" wrapText="1"/>
    </xf>
    <xf numFmtId="1" fontId="11" fillId="0" borderId="28" xfId="2" applyNumberFormat="1" applyFont="1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164" fontId="14" fillId="0" borderId="0" xfId="2" applyNumberFormat="1" applyFont="1" applyAlignment="1">
      <alignment horizontal="center" vertical="center" wrapText="1"/>
    </xf>
    <xf numFmtId="167" fontId="14" fillId="0" borderId="19" xfId="2" applyNumberFormat="1" applyFont="1" applyBorder="1" applyAlignment="1">
      <alignment horizontal="center" vertical="center" wrapText="1"/>
    </xf>
    <xf numFmtId="0" fontId="9" fillId="0" borderId="15" xfId="5" applyFont="1" applyBorder="1" applyAlignment="1">
      <alignment horizontal="center" vertical="center"/>
    </xf>
    <xf numFmtId="0" fontId="12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1" fontId="20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164" fontId="21" fillId="0" borderId="31" xfId="1" applyNumberFormat="1" applyFont="1" applyFill="1" applyBorder="1" applyAlignment="1">
      <alignment horizontal="center" vertical="center" wrapText="1"/>
    </xf>
    <xf numFmtId="168" fontId="4" fillId="0" borderId="0" xfId="2" applyNumberFormat="1" applyFont="1" applyAlignment="1">
      <alignment vertical="center" wrapText="1"/>
    </xf>
    <xf numFmtId="166" fontId="4" fillId="0" borderId="0" xfId="4" applyNumberFormat="1" applyFont="1" applyFill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/>
    </xf>
    <xf numFmtId="0" fontId="21" fillId="0" borderId="33" xfId="2" applyFont="1" applyBorder="1" applyAlignment="1">
      <alignment horizontal="center" vertical="center" wrapText="1"/>
    </xf>
    <xf numFmtId="1" fontId="21" fillId="0" borderId="33" xfId="2" applyNumberFormat="1" applyFont="1" applyBorder="1" applyAlignment="1">
      <alignment horizontal="center" vertical="center" wrapText="1"/>
    </xf>
    <xf numFmtId="1" fontId="21" fillId="0" borderId="34" xfId="2" applyNumberFormat="1" applyFont="1" applyBorder="1" applyAlignment="1">
      <alignment horizontal="center" vertical="center" wrapText="1"/>
    </xf>
    <xf numFmtId="164" fontId="21" fillId="0" borderId="19" xfId="1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 wrapText="1"/>
    </xf>
    <xf numFmtId="1" fontId="21" fillId="0" borderId="0" xfId="2" applyNumberFormat="1" applyFont="1" applyAlignment="1">
      <alignment horizontal="center" vertical="center" wrapText="1"/>
    </xf>
    <xf numFmtId="166" fontId="11" fillId="0" borderId="0" xfId="4" applyNumberFormat="1" applyFont="1" applyFill="1" applyBorder="1" applyAlignment="1">
      <alignment horizontal="center" vertical="center" wrapText="1"/>
    </xf>
    <xf numFmtId="0" fontId="11" fillId="0" borderId="35" xfId="2" applyFont="1" applyBorder="1" applyAlignment="1">
      <alignment horizontal="center" vertical="center"/>
    </xf>
    <xf numFmtId="0" fontId="11" fillId="0" borderId="36" xfId="2" applyFont="1" applyBorder="1" applyAlignment="1">
      <alignment horizontal="center" vertical="center" wrapText="1"/>
    </xf>
    <xf numFmtId="1" fontId="11" fillId="0" borderId="36" xfId="2" applyNumberFormat="1" applyFont="1" applyBorder="1" applyAlignment="1">
      <alignment horizontal="center" vertical="center" wrapText="1"/>
    </xf>
    <xf numFmtId="164" fontId="11" fillId="0" borderId="36" xfId="2" applyNumberFormat="1" applyFont="1" applyBorder="1" applyAlignment="1">
      <alignment horizontal="center" vertical="center" wrapText="1"/>
    </xf>
    <xf numFmtId="164" fontId="11" fillId="0" borderId="13" xfId="2" applyNumberFormat="1" applyFont="1" applyBorder="1" applyAlignment="1">
      <alignment horizontal="center" vertical="center" wrapText="1"/>
    </xf>
    <xf numFmtId="164" fontId="11" fillId="0" borderId="14" xfId="2" applyNumberFormat="1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/>
    </xf>
    <xf numFmtId="0" fontId="11" fillId="0" borderId="20" xfId="2" applyFont="1" applyBorder="1" applyAlignment="1">
      <alignment horizontal="justify" vertical="center" wrapText="1"/>
    </xf>
    <xf numFmtId="1" fontId="22" fillId="0" borderId="20" xfId="2" applyNumberFormat="1" applyFont="1" applyBorder="1" applyAlignment="1">
      <alignment horizontal="center" vertical="top" wrapText="1"/>
    </xf>
    <xf numFmtId="0" fontId="22" fillId="0" borderId="20" xfId="2" applyFont="1" applyBorder="1" applyAlignment="1">
      <alignment horizontal="center" vertical="top" wrapText="1"/>
    </xf>
    <xf numFmtId="164" fontId="4" fillId="0" borderId="20" xfId="2" applyNumberFormat="1" applyFont="1" applyBorder="1" applyAlignment="1">
      <alignment horizontal="center" vertical="center" wrapText="1"/>
    </xf>
    <xf numFmtId="164" fontId="4" fillId="0" borderId="16" xfId="2" applyNumberFormat="1" applyFont="1" applyBorder="1" applyAlignment="1">
      <alignment horizontal="center" vertical="center" wrapText="1"/>
    </xf>
    <xf numFmtId="164" fontId="11" fillId="0" borderId="31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justify" vertical="center" wrapText="1"/>
    </xf>
    <xf numFmtId="1" fontId="22" fillId="0" borderId="0" xfId="2" applyNumberFormat="1" applyFont="1" applyAlignment="1">
      <alignment horizontal="center" vertical="top" wrapText="1"/>
    </xf>
    <xf numFmtId="0" fontId="22" fillId="0" borderId="0" xfId="2" applyFont="1" applyAlignment="1">
      <alignment horizontal="center" vertical="top" wrapText="1"/>
    </xf>
    <xf numFmtId="0" fontId="22" fillId="0" borderId="15" xfId="2" applyFont="1" applyBorder="1" applyAlignment="1">
      <alignment horizontal="center" vertical="top"/>
    </xf>
    <xf numFmtId="0" fontId="23" fillId="0" borderId="20" xfId="2" applyFont="1" applyBorder="1" applyAlignment="1">
      <alignment vertical="center" wrapText="1"/>
    </xf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vertical="center" wrapText="1"/>
    </xf>
    <xf numFmtId="0" fontId="23" fillId="0" borderId="20" xfId="2" applyFont="1" applyBorder="1" applyAlignment="1">
      <alignment horizontal="justify" vertical="top" wrapText="1"/>
    </xf>
    <xf numFmtId="0" fontId="23" fillId="0" borderId="0" xfId="2" applyFont="1" applyAlignment="1">
      <alignment horizontal="justify" vertical="top" wrapText="1"/>
    </xf>
    <xf numFmtId="0" fontId="24" fillId="0" borderId="15" xfId="2" applyFont="1" applyBorder="1" applyAlignment="1">
      <alignment horizontal="center" vertical="top"/>
    </xf>
    <xf numFmtId="0" fontId="4" fillId="0" borderId="20" xfId="2" applyFont="1" applyBorder="1" applyAlignment="1">
      <alignment horizontal="justify" vertical="top" wrapText="1"/>
    </xf>
    <xf numFmtId="1" fontId="4" fillId="0" borderId="20" xfId="2" applyNumberFormat="1" applyFont="1" applyBorder="1" applyAlignment="1">
      <alignment horizontal="center" vertical="top" wrapText="1"/>
    </xf>
    <xf numFmtId="0" fontId="4" fillId="0" borderId="20" xfId="2" applyFont="1" applyBorder="1" applyAlignment="1">
      <alignment horizontal="center" vertical="top" wrapText="1"/>
    </xf>
    <xf numFmtId="167" fontId="4" fillId="0" borderId="31" xfId="2" applyNumberFormat="1" applyFont="1" applyBorder="1" applyAlignment="1">
      <alignment horizontal="center" vertical="center" wrapText="1"/>
    </xf>
    <xf numFmtId="166" fontId="4" fillId="0" borderId="0" xfId="3" applyNumberFormat="1" applyFont="1" applyFill="1" applyBorder="1" applyAlignment="1">
      <alignment vertical="center" wrapText="1"/>
    </xf>
    <xf numFmtId="0" fontId="24" fillId="0" borderId="0" xfId="2" applyFont="1" applyAlignment="1">
      <alignment horizontal="center" vertical="top"/>
    </xf>
    <xf numFmtId="0" fontId="4" fillId="0" borderId="0" xfId="2" applyFont="1" applyAlignment="1">
      <alignment horizontal="justify" vertical="top" wrapText="1"/>
    </xf>
    <xf numFmtId="1" fontId="4" fillId="0" borderId="0" xfId="2" applyNumberFormat="1" applyFont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164" fontId="4" fillId="4" borderId="16" xfId="2" applyNumberFormat="1" applyFont="1" applyFill="1" applyBorder="1" applyAlignment="1">
      <alignment horizontal="center" vertical="center" wrapText="1"/>
    </xf>
    <xf numFmtId="0" fontId="4" fillId="4" borderId="20" xfId="2" applyFont="1" applyFill="1" applyBorder="1" applyAlignment="1">
      <alignment horizontal="justify" vertical="top" wrapText="1"/>
    </xf>
    <xf numFmtId="0" fontId="25" fillId="0" borderId="20" xfId="2" applyFont="1" applyBorder="1" applyAlignment="1">
      <alignment horizontal="right" vertical="top" wrapText="1"/>
    </xf>
    <xf numFmtId="1" fontId="24" fillId="0" borderId="20" xfId="2" applyNumberFormat="1" applyFont="1" applyBorder="1" applyAlignment="1">
      <alignment horizontal="center" vertical="top" wrapText="1"/>
    </xf>
    <xf numFmtId="0" fontId="24" fillId="0" borderId="20" xfId="2" applyFont="1" applyBorder="1" applyAlignment="1">
      <alignment horizontal="center" vertical="top" wrapText="1"/>
    </xf>
    <xf numFmtId="0" fontId="25" fillId="0" borderId="0" xfId="2" applyFont="1" applyAlignment="1">
      <alignment horizontal="right" vertical="top" wrapText="1"/>
    </xf>
    <xf numFmtId="1" fontId="24" fillId="0" borderId="0" xfId="2" applyNumberFormat="1" applyFont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4" fillId="0" borderId="15" xfId="2" applyFont="1" applyBorder="1" applyAlignment="1">
      <alignment horizontal="center" vertical="top"/>
    </xf>
    <xf numFmtId="0" fontId="4" fillId="0" borderId="20" xfId="2" applyFont="1" applyBorder="1" applyAlignment="1">
      <alignment vertical="top" wrapText="1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top" wrapText="1"/>
    </xf>
    <xf numFmtId="165" fontId="4" fillId="0" borderId="20" xfId="4" applyFont="1" applyFill="1" applyBorder="1" applyAlignment="1">
      <alignment horizontal="center" vertical="center" wrapText="1"/>
    </xf>
    <xf numFmtId="165" fontId="4" fillId="0" borderId="16" xfId="4" applyFont="1" applyFill="1" applyBorder="1" applyAlignment="1">
      <alignment horizontal="center" vertical="center" wrapText="1"/>
    </xf>
    <xf numFmtId="165" fontId="4" fillId="0" borderId="0" xfId="4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/>
    </xf>
    <xf numFmtId="0" fontId="4" fillId="0" borderId="20" xfId="2" applyFont="1" applyBorder="1" applyAlignment="1">
      <alignment vertical="center" wrapText="1"/>
    </xf>
    <xf numFmtId="167" fontId="24" fillId="0" borderId="31" xfId="2" applyNumberFormat="1" applyFont="1" applyBorder="1" applyAlignment="1">
      <alignment horizontal="center" vertical="top" wrapText="1"/>
    </xf>
    <xf numFmtId="166" fontId="24" fillId="0" borderId="0" xfId="4" applyNumberFormat="1" applyFont="1" applyFill="1" applyBorder="1" applyAlignment="1">
      <alignment horizontal="center" vertical="top" wrapText="1"/>
    </xf>
    <xf numFmtId="1" fontId="4" fillId="0" borderId="20" xfId="2" applyNumberFormat="1" applyFont="1" applyBorder="1" applyAlignment="1">
      <alignment horizontal="center" vertical="center" wrapText="1"/>
    </xf>
    <xf numFmtId="1" fontId="4" fillId="0" borderId="17" xfId="2" applyNumberFormat="1" applyFont="1" applyBorder="1" applyAlignment="1">
      <alignment horizontal="center" vertical="center" wrapText="1"/>
    </xf>
    <xf numFmtId="0" fontId="21" fillId="0" borderId="38" xfId="2" applyFont="1" applyBorder="1" applyAlignment="1">
      <alignment horizontal="right" vertical="center" wrapText="1"/>
    </xf>
    <xf numFmtId="164" fontId="21" fillId="0" borderId="38" xfId="2" applyNumberFormat="1" applyFont="1" applyBorder="1" applyAlignment="1">
      <alignment horizontal="right" vertical="center" wrapText="1"/>
    </xf>
    <xf numFmtId="167" fontId="21" fillId="0" borderId="39" xfId="1" applyNumberFormat="1" applyFont="1" applyFill="1" applyBorder="1" applyAlignment="1">
      <alignment horizontal="center" vertical="center" wrapText="1"/>
    </xf>
    <xf numFmtId="0" fontId="21" fillId="0" borderId="0" xfId="2" applyFont="1" applyAlignment="1">
      <alignment horizontal="right" vertical="center" wrapText="1"/>
    </xf>
    <xf numFmtId="166" fontId="21" fillId="0" borderId="0" xfId="4" applyNumberFormat="1" applyFont="1" applyFill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/>
    </xf>
    <xf numFmtId="0" fontId="4" fillId="0" borderId="8" xfId="2" applyFont="1" applyBorder="1" applyAlignment="1">
      <alignment vertical="center" wrapText="1"/>
    </xf>
    <xf numFmtId="1" fontId="4" fillId="0" borderId="9" xfId="2" applyNumberFormat="1" applyFont="1" applyBorder="1" applyAlignment="1">
      <alignment horizontal="center" vertical="center" wrapText="1"/>
    </xf>
    <xf numFmtId="1" fontId="4" fillId="0" borderId="5" xfId="2" applyNumberFormat="1" applyFont="1" applyBorder="1" applyAlignment="1">
      <alignment horizontal="center" vertical="center" wrapText="1"/>
    </xf>
    <xf numFmtId="0" fontId="21" fillId="0" borderId="5" xfId="2" applyFont="1" applyBorder="1" applyAlignment="1">
      <alignment horizontal="right" vertical="center" wrapText="1"/>
    </xf>
    <xf numFmtId="167" fontId="21" fillId="0" borderId="39" xfId="2" applyNumberFormat="1" applyFont="1" applyBorder="1" applyAlignment="1">
      <alignment horizontal="center" vertical="center" wrapText="1"/>
    </xf>
    <xf numFmtId="0" fontId="21" fillId="0" borderId="20" xfId="2" applyFont="1" applyBorder="1" applyAlignment="1">
      <alignment horizontal="right" vertical="center" wrapText="1"/>
    </xf>
    <xf numFmtId="0" fontId="4" fillId="0" borderId="20" xfId="2" applyFont="1" applyBorder="1" applyAlignment="1">
      <alignment horizontal="center" vertical="center" wrapText="1"/>
    </xf>
    <xf numFmtId="1" fontId="4" fillId="0" borderId="16" xfId="2" applyNumberFormat="1" applyFont="1" applyBorder="1" applyAlignment="1">
      <alignment horizontal="center" vertical="center" wrapText="1"/>
    </xf>
    <xf numFmtId="0" fontId="4" fillId="0" borderId="15" xfId="2" applyFont="1" applyBorder="1" applyAlignment="1">
      <alignment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1" fontId="11" fillId="0" borderId="20" xfId="2" applyNumberFormat="1" applyFont="1" applyBorder="1" applyAlignment="1">
      <alignment horizontal="center" vertical="center" wrapText="1"/>
    </xf>
    <xf numFmtId="164" fontId="11" fillId="0" borderId="20" xfId="2" applyNumberFormat="1" applyFont="1" applyBorder="1" applyAlignment="1">
      <alignment horizontal="center" vertical="center" wrapText="1"/>
    </xf>
    <xf numFmtId="164" fontId="11" fillId="0" borderId="16" xfId="2" applyNumberFormat="1" applyFont="1" applyBorder="1" applyAlignment="1">
      <alignment horizontal="center" vertical="center" wrapText="1"/>
    </xf>
    <xf numFmtId="167" fontId="11" fillId="0" borderId="31" xfId="2" applyNumberFormat="1" applyFont="1" applyBorder="1" applyAlignment="1">
      <alignment horizontal="center" vertical="center" wrapText="1"/>
    </xf>
    <xf numFmtId="0" fontId="21" fillId="0" borderId="20" xfId="2" applyFont="1" applyBorder="1" applyAlignment="1">
      <alignment vertical="center" wrapText="1"/>
    </xf>
    <xf numFmtId="0" fontId="21" fillId="0" borderId="0" xfId="2" applyFont="1" applyAlignment="1">
      <alignment vertical="center" wrapText="1"/>
    </xf>
    <xf numFmtId="0" fontId="11" fillId="0" borderId="20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28" fillId="0" borderId="20" xfId="2" applyFont="1" applyBorder="1" applyAlignment="1">
      <alignment vertical="center"/>
    </xf>
    <xf numFmtId="0" fontId="28" fillId="0" borderId="0" xfId="2" applyFont="1" applyAlignment="1">
      <alignment vertical="center"/>
    </xf>
    <xf numFmtId="1" fontId="4" fillId="0" borderId="20" xfId="5" applyNumberFormat="1" applyFont="1" applyBorder="1" applyAlignment="1">
      <alignment horizontal="center" vertical="center" wrapText="1"/>
    </xf>
    <xf numFmtId="1" fontId="4" fillId="0" borderId="0" xfId="5" applyNumberFormat="1" applyFont="1" applyAlignment="1">
      <alignment horizontal="center" vertical="center" wrapText="1"/>
    </xf>
    <xf numFmtId="0" fontId="4" fillId="0" borderId="20" xfId="5" applyFont="1" applyBorder="1" applyAlignment="1">
      <alignment vertical="center" wrapText="1"/>
    </xf>
    <xf numFmtId="0" fontId="4" fillId="0" borderId="20" xfId="5" applyFont="1" applyBorder="1" applyAlignment="1">
      <alignment horizontal="center" vertical="center" wrapText="1"/>
    </xf>
    <xf numFmtId="0" fontId="4" fillId="0" borderId="0" xfId="5" applyFont="1" applyAlignment="1">
      <alignment vertical="center" wrapText="1"/>
    </xf>
    <xf numFmtId="0" fontId="4" fillId="0" borderId="0" xfId="5" applyFont="1" applyAlignment="1">
      <alignment horizontal="center" vertical="center" wrapText="1"/>
    </xf>
    <xf numFmtId="164" fontId="21" fillId="5" borderId="31" xfId="1" applyNumberFormat="1" applyFont="1" applyFill="1" applyBorder="1" applyAlignment="1">
      <alignment horizontal="center" vertical="center" wrapText="1"/>
    </xf>
    <xf numFmtId="168" fontId="4" fillId="5" borderId="0" xfId="2" applyNumberFormat="1" applyFont="1" applyFill="1" applyAlignment="1">
      <alignment vertical="center" wrapText="1"/>
    </xf>
    <xf numFmtId="0" fontId="21" fillId="0" borderId="20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2" fontId="4" fillId="0" borderId="15" xfId="2" applyNumberFormat="1" applyFont="1" applyBorder="1" applyAlignment="1">
      <alignment horizontal="center" vertical="center"/>
    </xf>
    <xf numFmtId="0" fontId="4" fillId="0" borderId="20" xfId="2" applyFont="1" applyBorder="1" applyAlignment="1">
      <alignment horizontal="justify" vertical="center" wrapText="1"/>
    </xf>
    <xf numFmtId="2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justify" vertical="center" wrapText="1"/>
    </xf>
    <xf numFmtId="169" fontId="4" fillId="0" borderId="20" xfId="2" applyNumberFormat="1" applyFont="1" applyBorder="1" applyAlignment="1">
      <alignment horizontal="center" vertical="center" wrapText="1"/>
    </xf>
    <xf numFmtId="169" fontId="4" fillId="0" borderId="0" xfId="2" applyNumberFormat="1" applyFont="1" applyAlignment="1">
      <alignment horizontal="center" vertical="center" wrapText="1"/>
    </xf>
    <xf numFmtId="0" fontId="23" fillId="0" borderId="20" xfId="2" applyFont="1" applyBorder="1" applyAlignment="1">
      <alignment horizontal="justify" vertical="center" wrapText="1"/>
    </xf>
    <xf numFmtId="0" fontId="23" fillId="0" borderId="0" xfId="2" applyFont="1" applyAlignment="1">
      <alignment horizontal="justify" vertical="center" wrapText="1"/>
    </xf>
    <xf numFmtId="0" fontId="29" fillId="0" borderId="20" xfId="2" applyFont="1" applyBorder="1" applyAlignment="1">
      <alignment horizontal="right" vertical="center" wrapText="1"/>
    </xf>
    <xf numFmtId="0" fontId="29" fillId="0" borderId="0" xfId="2" applyFont="1" applyAlignment="1">
      <alignment horizontal="right" vertical="center" wrapText="1"/>
    </xf>
    <xf numFmtId="0" fontId="4" fillId="0" borderId="20" xfId="5" applyFont="1" applyBorder="1" applyAlignment="1">
      <alignment horizontal="justify" vertical="center" wrapText="1"/>
    </xf>
    <xf numFmtId="1" fontId="4" fillId="5" borderId="20" xfId="2" applyNumberFormat="1" applyFont="1" applyFill="1" applyBorder="1" applyAlignment="1">
      <alignment horizontal="center" vertical="center" wrapText="1"/>
    </xf>
    <xf numFmtId="164" fontId="4" fillId="5" borderId="20" xfId="2" applyNumberFormat="1" applyFont="1" applyFill="1" applyBorder="1" applyAlignment="1">
      <alignment horizontal="center" vertical="center" wrapText="1"/>
    </xf>
    <xf numFmtId="167" fontId="4" fillId="5" borderId="31" xfId="2" applyNumberFormat="1" applyFont="1" applyFill="1" applyBorder="1" applyAlignment="1">
      <alignment horizontal="center" vertical="center" wrapText="1"/>
    </xf>
    <xf numFmtId="166" fontId="30" fillId="0" borderId="0" xfId="3" applyNumberFormat="1" applyFont="1" applyFill="1" applyAlignment="1">
      <alignment vertical="center" wrapText="1"/>
    </xf>
    <xf numFmtId="0" fontId="30" fillId="0" borderId="0" xfId="2" applyFont="1" applyAlignment="1">
      <alignment vertical="center" wrapText="1"/>
    </xf>
    <xf numFmtId="0" fontId="4" fillId="0" borderId="0" xfId="5" applyFont="1" applyAlignment="1">
      <alignment horizontal="justify" vertical="center" wrapText="1"/>
    </xf>
    <xf numFmtId="166" fontId="0" fillId="0" borderId="0" xfId="3" applyNumberFormat="1" applyFont="1" applyFill="1"/>
    <xf numFmtId="166" fontId="3" fillId="0" borderId="0" xfId="3" applyNumberFormat="1" applyFont="1" applyFill="1" applyBorder="1"/>
    <xf numFmtId="166" fontId="0" fillId="0" borderId="0" xfId="3" applyNumberFormat="1" applyFont="1" applyFill="1" applyBorder="1"/>
    <xf numFmtId="0" fontId="4" fillId="0" borderId="17" xfId="2" applyFont="1" applyBorder="1" applyAlignment="1">
      <alignment horizontal="center" vertical="center" wrapText="1"/>
    </xf>
    <xf numFmtId="167" fontId="4" fillId="0" borderId="19" xfId="2" applyNumberFormat="1" applyFont="1" applyBorder="1" applyAlignment="1">
      <alignment horizontal="center" vertical="center" wrapText="1"/>
    </xf>
    <xf numFmtId="0" fontId="23" fillId="0" borderId="20" xfId="2" applyFont="1" applyBorder="1" applyAlignment="1">
      <alignment horizontal="left" vertical="center" wrapText="1"/>
    </xf>
    <xf numFmtId="0" fontId="23" fillId="0" borderId="0" xfId="2" applyFont="1" applyAlignment="1">
      <alignment horizontal="left" vertical="center" wrapText="1"/>
    </xf>
    <xf numFmtId="0" fontId="4" fillId="0" borderId="20" xfId="2" applyFont="1" applyBorder="1"/>
    <xf numFmtId="167" fontId="4" fillId="6" borderId="31" xfId="2" applyNumberFormat="1" applyFont="1" applyFill="1" applyBorder="1" applyAlignment="1">
      <alignment horizontal="center" vertical="center" wrapText="1"/>
    </xf>
    <xf numFmtId="0" fontId="4" fillId="0" borderId="0" xfId="2" applyFont="1"/>
    <xf numFmtId="0" fontId="4" fillId="0" borderId="0" xfId="2" applyFont="1" applyAlignment="1">
      <alignment horizontal="justify" wrapText="1"/>
    </xf>
    <xf numFmtId="167" fontId="4" fillId="0" borderId="0" xfId="2" applyNumberFormat="1" applyFont="1" applyAlignment="1">
      <alignment horizontal="center" vertical="center" wrapText="1"/>
    </xf>
    <xf numFmtId="1" fontId="4" fillId="4" borderId="20" xfId="2" applyNumberFormat="1" applyFont="1" applyFill="1" applyBorder="1" applyAlignment="1">
      <alignment horizontal="center" vertical="center" wrapText="1"/>
    </xf>
    <xf numFmtId="166" fontId="30" fillId="0" borderId="0" xfId="2" applyNumberFormat="1" applyFont="1" applyAlignment="1">
      <alignment vertical="center" wrapText="1"/>
    </xf>
    <xf numFmtId="0" fontId="31" fillId="4" borderId="20" xfId="2" applyFont="1" applyFill="1" applyBorder="1" applyAlignment="1">
      <alignment horizontal="justify" vertical="center" wrapText="1"/>
    </xf>
    <xf numFmtId="0" fontId="32" fillId="0" borderId="0" xfId="2" applyFont="1" applyAlignment="1">
      <alignment vertical="center" wrapText="1"/>
    </xf>
    <xf numFmtId="165" fontId="33" fillId="0" borderId="0" xfId="3" applyFont="1" applyFill="1" applyBorder="1" applyAlignment="1">
      <alignment vertical="center" wrapText="1"/>
    </xf>
    <xf numFmtId="0" fontId="31" fillId="0" borderId="0" xfId="2" applyFont="1" applyAlignment="1">
      <alignment horizontal="justify" vertical="center" wrapText="1"/>
    </xf>
    <xf numFmtId="0" fontId="31" fillId="0" borderId="20" xfId="2" applyFont="1" applyBorder="1" applyAlignment="1">
      <alignment horizontal="justify" vertical="center" wrapText="1"/>
    </xf>
    <xf numFmtId="0" fontId="21" fillId="0" borderId="41" xfId="2" applyFont="1" applyBorder="1" applyAlignment="1">
      <alignment horizontal="right" vertical="center" wrapText="1"/>
    </xf>
    <xf numFmtId="164" fontId="21" fillId="0" borderId="41" xfId="2" applyNumberFormat="1" applyFont="1" applyBorder="1" applyAlignment="1">
      <alignment horizontal="right" vertical="center" wrapText="1"/>
    </xf>
    <xf numFmtId="0" fontId="4" fillId="0" borderId="19" xfId="2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164" fontId="11" fillId="0" borderId="19" xfId="2" applyNumberFormat="1" applyFont="1" applyBorder="1" applyAlignment="1">
      <alignment horizontal="center" vertical="center" wrapText="1"/>
    </xf>
    <xf numFmtId="167" fontId="11" fillId="0" borderId="19" xfId="2" applyNumberFormat="1" applyFont="1" applyBorder="1" applyAlignment="1">
      <alignment horizontal="center" vertical="center" wrapText="1"/>
    </xf>
    <xf numFmtId="1" fontId="19" fillId="0" borderId="20" xfId="2" applyNumberFormat="1" applyFont="1" applyBorder="1" applyAlignment="1">
      <alignment horizontal="center" vertical="center"/>
    </xf>
    <xf numFmtId="2" fontId="19" fillId="0" borderId="20" xfId="2" applyNumberFormat="1" applyFont="1" applyBorder="1" applyAlignment="1">
      <alignment horizontal="center" vertical="center"/>
    </xf>
    <xf numFmtId="167" fontId="19" fillId="0" borderId="19" xfId="2" applyNumberFormat="1" applyFont="1" applyBorder="1" applyAlignment="1">
      <alignment horizontal="center" vertical="center"/>
    </xf>
    <xf numFmtId="1" fontId="19" fillId="0" borderId="0" xfId="2" applyNumberFormat="1" applyFont="1" applyAlignment="1">
      <alignment horizontal="center" vertical="center"/>
    </xf>
    <xf numFmtId="2" fontId="19" fillId="0" borderId="0" xfId="2" applyNumberFormat="1" applyFont="1" applyAlignment="1">
      <alignment horizontal="center" vertical="center"/>
    </xf>
    <xf numFmtId="166" fontId="19" fillId="0" borderId="0" xfId="4" applyNumberFormat="1" applyFont="1" applyFill="1" applyBorder="1" applyAlignment="1">
      <alignment horizontal="center" vertical="center"/>
    </xf>
    <xf numFmtId="0" fontId="28" fillId="0" borderId="20" xfId="2" applyFont="1" applyBorder="1" applyAlignment="1">
      <alignment vertical="center" wrapText="1"/>
    </xf>
    <xf numFmtId="0" fontId="28" fillId="0" borderId="0" xfId="2" applyFont="1" applyAlignment="1">
      <alignment vertical="center" wrapText="1"/>
    </xf>
    <xf numFmtId="0" fontId="34" fillId="0" borderId="20" xfId="2" applyFont="1" applyBorder="1" applyAlignment="1">
      <alignment horizontal="left" wrapText="1"/>
    </xf>
    <xf numFmtId="164" fontId="4" fillId="4" borderId="20" xfId="2" applyNumberFormat="1" applyFont="1" applyFill="1" applyBorder="1" applyAlignment="1">
      <alignment horizontal="center" vertical="center" wrapText="1"/>
    </xf>
    <xf numFmtId="164" fontId="4" fillId="6" borderId="16" xfId="2" applyNumberFormat="1" applyFont="1" applyFill="1" applyBorder="1" applyAlignment="1">
      <alignment horizontal="center" vertical="center" wrapText="1"/>
    </xf>
    <xf numFmtId="164" fontId="21" fillId="7" borderId="31" xfId="1" applyNumberFormat="1" applyFont="1" applyFill="1" applyBorder="1" applyAlignment="1">
      <alignment horizontal="center" vertical="center" wrapText="1"/>
    </xf>
    <xf numFmtId="168" fontId="4" fillId="7" borderId="0" xfId="2" applyNumberFormat="1" applyFont="1" applyFill="1" applyAlignment="1">
      <alignment vertical="center" wrapText="1"/>
    </xf>
    <xf numFmtId="0" fontId="34" fillId="0" borderId="0" xfId="2" applyFont="1" applyAlignment="1">
      <alignment horizontal="left" vertical="center" wrapText="1"/>
    </xf>
    <xf numFmtId="0" fontId="35" fillId="0" borderId="20" xfId="2" applyFont="1" applyBorder="1" applyAlignment="1">
      <alignment horizontal="left" wrapText="1"/>
    </xf>
    <xf numFmtId="0" fontId="35" fillId="0" borderId="0" xfId="2" applyFont="1" applyAlignment="1">
      <alignment horizontal="left" wrapText="1"/>
    </xf>
    <xf numFmtId="1" fontId="4" fillId="0" borderId="20" xfId="4" applyNumberFormat="1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>
      <alignment horizontal="center" vertical="center"/>
    </xf>
    <xf numFmtId="0" fontId="36" fillId="0" borderId="20" xfId="7" applyFont="1" applyBorder="1" applyAlignment="1">
      <alignment horizontal="center" vertical="center" wrapText="1"/>
    </xf>
    <xf numFmtId="0" fontId="36" fillId="0" borderId="0" xfId="7" applyFont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35" fillId="6" borderId="20" xfId="2" applyFont="1" applyFill="1" applyBorder="1" applyAlignment="1">
      <alignment horizontal="left" wrapText="1"/>
    </xf>
    <xf numFmtId="0" fontId="35" fillId="4" borderId="20" xfId="2" applyFont="1" applyFill="1" applyBorder="1" applyAlignment="1">
      <alignment horizontal="left" wrapText="1"/>
    </xf>
    <xf numFmtId="43" fontId="4" fillId="0" borderId="0" xfId="2" applyNumberFormat="1" applyFont="1" applyAlignment="1">
      <alignment horizontal="center" vertical="center" wrapText="1"/>
    </xf>
    <xf numFmtId="0" fontId="37" fillId="0" borderId="20" xfId="2" applyFont="1" applyBorder="1" applyAlignment="1">
      <alignment horizontal="left" wrapText="1"/>
    </xf>
    <xf numFmtId="0" fontId="37" fillId="0" borderId="0" xfId="2" applyFont="1" applyAlignment="1">
      <alignment horizontal="left" wrapText="1"/>
    </xf>
    <xf numFmtId="167" fontId="4" fillId="0" borderId="20" xfId="2" applyNumberFormat="1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 vertical="center" wrapText="1"/>
    </xf>
    <xf numFmtId="167" fontId="4" fillId="0" borderId="6" xfId="2" applyNumberFormat="1" applyFont="1" applyBorder="1" applyAlignment="1">
      <alignment horizontal="center" vertical="center" wrapText="1"/>
    </xf>
    <xf numFmtId="0" fontId="4" fillId="0" borderId="17" xfId="2" applyFont="1" applyBorder="1" applyAlignment="1">
      <alignment vertical="center" wrapText="1"/>
    </xf>
    <xf numFmtId="0" fontId="21" fillId="0" borderId="6" xfId="2" applyFont="1" applyBorder="1" applyAlignment="1">
      <alignment horizontal="right" vertical="center" wrapText="1"/>
    </xf>
    <xf numFmtId="164" fontId="21" fillId="0" borderId="6" xfId="2" applyNumberFormat="1" applyFont="1" applyBorder="1" applyAlignment="1">
      <alignment horizontal="right" vertical="center" wrapText="1"/>
    </xf>
    <xf numFmtId="0" fontId="4" fillId="0" borderId="30" xfId="2" applyFont="1" applyBorder="1" applyAlignment="1">
      <alignment horizontal="center" vertical="center"/>
    </xf>
    <xf numFmtId="167" fontId="21" fillId="0" borderId="19" xfId="2" applyNumberFormat="1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top"/>
    </xf>
    <xf numFmtId="0" fontId="11" fillId="0" borderId="20" xfId="2" applyFont="1" applyBorder="1" applyAlignment="1">
      <alignment horizontal="justify" vertical="top" wrapText="1"/>
    </xf>
    <xf numFmtId="0" fontId="11" fillId="0" borderId="0" xfId="2" applyFont="1" applyAlignment="1">
      <alignment horizontal="justify" vertical="top" wrapText="1"/>
    </xf>
    <xf numFmtId="0" fontId="11" fillId="0" borderId="0" xfId="2" applyFont="1" applyAlignment="1">
      <alignment horizontal="center" vertical="top" wrapText="1"/>
    </xf>
    <xf numFmtId="0" fontId="4" fillId="0" borderId="15" xfId="5" applyFont="1" applyBorder="1" applyAlignment="1">
      <alignment horizontal="center" vertical="center"/>
    </xf>
    <xf numFmtId="1" fontId="11" fillId="0" borderId="20" xfId="5" applyNumberFormat="1" applyFont="1" applyBorder="1" applyAlignment="1">
      <alignment horizontal="center" vertical="center" wrapText="1"/>
    </xf>
    <xf numFmtId="0" fontId="11" fillId="0" borderId="20" xfId="5" applyFont="1" applyBorder="1" applyAlignment="1">
      <alignment horizontal="center" vertical="center" wrapText="1"/>
    </xf>
    <xf numFmtId="167" fontId="11" fillId="0" borderId="31" xfId="5" applyNumberFormat="1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/>
    </xf>
    <xf numFmtId="1" fontId="11" fillId="0" borderId="0" xfId="5" applyNumberFormat="1" applyFont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0" fontId="38" fillId="0" borderId="20" xfId="2" applyFont="1" applyBorder="1" applyAlignment="1">
      <alignment horizontal="center" vertical="center" wrapText="1"/>
    </xf>
    <xf numFmtId="0" fontId="38" fillId="0" borderId="0" xfId="2" applyFont="1" applyAlignment="1">
      <alignment horizontal="center" vertical="center" wrapText="1"/>
    </xf>
    <xf numFmtId="0" fontId="4" fillId="0" borderId="20" xfId="2" applyFont="1" applyBorder="1" applyAlignment="1">
      <alignment vertical="center"/>
    </xf>
    <xf numFmtId="1" fontId="4" fillId="6" borderId="17" xfId="2" applyNumberFormat="1" applyFont="1" applyFill="1" applyBorder="1" applyAlignment="1">
      <alignment horizontal="center" vertical="center" wrapText="1"/>
    </xf>
    <xf numFmtId="164" fontId="4" fillId="6" borderId="20" xfId="2" applyNumberFormat="1" applyFont="1" applyFill="1" applyBorder="1" applyAlignment="1">
      <alignment horizontal="center" vertical="center" wrapText="1"/>
    </xf>
    <xf numFmtId="0" fontId="4" fillId="6" borderId="20" xfId="2" applyFont="1" applyFill="1" applyBorder="1" applyAlignment="1">
      <alignment vertical="center" wrapText="1"/>
    </xf>
    <xf numFmtId="169" fontId="4" fillId="0" borderId="16" xfId="2" applyNumberFormat="1" applyFont="1" applyBorder="1" applyAlignment="1">
      <alignment horizontal="center" vertical="center" wrapText="1"/>
    </xf>
    <xf numFmtId="167" fontId="4" fillId="4" borderId="31" xfId="2" applyNumberFormat="1" applyFont="1" applyFill="1" applyBorder="1" applyAlignment="1">
      <alignment horizontal="center" vertical="center" wrapText="1"/>
    </xf>
    <xf numFmtId="0" fontId="4" fillId="4" borderId="0" xfId="2" applyFont="1" applyFill="1" applyAlignment="1">
      <alignment vertical="center" wrapText="1"/>
    </xf>
    <xf numFmtId="169" fontId="4" fillId="4" borderId="16" xfId="2" applyNumberFormat="1" applyFont="1" applyFill="1" applyBorder="1" applyAlignment="1">
      <alignment horizontal="center" vertical="center" wrapText="1"/>
    </xf>
    <xf numFmtId="164" fontId="4" fillId="0" borderId="17" xfId="2" applyNumberFormat="1" applyFont="1" applyBorder="1" applyAlignment="1">
      <alignment horizontal="center" vertical="center" wrapText="1"/>
    </xf>
    <xf numFmtId="164" fontId="4" fillId="6" borderId="17" xfId="2" applyNumberFormat="1" applyFont="1" applyFill="1" applyBorder="1" applyAlignment="1">
      <alignment horizontal="center" vertical="center" wrapText="1"/>
    </xf>
    <xf numFmtId="169" fontId="4" fillId="4" borderId="20" xfId="2" applyNumberFormat="1" applyFont="1" applyFill="1" applyBorder="1" applyAlignment="1">
      <alignment horizontal="center" vertical="center" wrapText="1"/>
    </xf>
    <xf numFmtId="169" fontId="4" fillId="0" borderId="17" xfId="2" applyNumberFormat="1" applyFont="1" applyBorder="1" applyAlignment="1">
      <alignment horizontal="center" vertical="center" wrapText="1"/>
    </xf>
    <xf numFmtId="0" fontId="4" fillId="4" borderId="20" xfId="2" applyFont="1" applyFill="1" applyBorder="1" applyAlignment="1">
      <alignment vertical="center" wrapText="1"/>
    </xf>
    <xf numFmtId="0" fontId="4" fillId="0" borderId="17" xfId="5" applyFont="1" applyBorder="1" applyAlignment="1">
      <alignment horizontal="center" vertical="center" wrapText="1"/>
    </xf>
    <xf numFmtId="0" fontId="4" fillId="5" borderId="20" xfId="2" applyFont="1" applyFill="1" applyBorder="1" applyAlignment="1">
      <alignment vertical="center" wrapText="1"/>
    </xf>
    <xf numFmtId="0" fontId="4" fillId="0" borderId="24" xfId="2" applyFont="1" applyBorder="1" applyAlignment="1">
      <alignment vertical="center" wrapText="1"/>
    </xf>
    <xf numFmtId="1" fontId="4" fillId="0" borderId="24" xfId="2" applyNumberFormat="1" applyFont="1" applyBorder="1" applyAlignment="1">
      <alignment horizontal="center" vertical="center" wrapText="1"/>
    </xf>
    <xf numFmtId="0" fontId="4" fillId="0" borderId="24" xfId="5" applyFont="1" applyBorder="1" applyAlignment="1">
      <alignment horizontal="center" vertical="center" wrapText="1"/>
    </xf>
    <xf numFmtId="164" fontId="4" fillId="0" borderId="24" xfId="2" applyNumberFormat="1" applyFont="1" applyBorder="1" applyAlignment="1">
      <alignment horizontal="center" vertical="center" wrapText="1"/>
    </xf>
    <xf numFmtId="164" fontId="21" fillId="0" borderId="0" xfId="1" applyNumberFormat="1" applyFont="1" applyFill="1" applyBorder="1" applyAlignment="1">
      <alignment horizontal="center" vertical="center" wrapText="1"/>
    </xf>
    <xf numFmtId="1" fontId="4" fillId="6" borderId="20" xfId="2" applyNumberFormat="1" applyFont="1" applyFill="1" applyBorder="1" applyAlignment="1">
      <alignment horizontal="center" vertical="center" wrapText="1"/>
    </xf>
    <xf numFmtId="167" fontId="4" fillId="6" borderId="19" xfId="2" applyNumberFormat="1" applyFont="1" applyFill="1" applyBorder="1" applyAlignment="1">
      <alignment horizontal="center" vertical="center" wrapText="1"/>
    </xf>
    <xf numFmtId="164" fontId="4" fillId="0" borderId="29" xfId="2" applyNumberFormat="1" applyFont="1" applyBorder="1" applyAlignment="1">
      <alignment horizontal="center" vertical="center" wrapText="1"/>
    </xf>
    <xf numFmtId="1" fontId="4" fillId="0" borderId="31" xfId="2" applyNumberFormat="1" applyFont="1" applyBorder="1" applyAlignment="1">
      <alignment horizontal="center" vertical="center" wrapText="1"/>
    </xf>
    <xf numFmtId="167" fontId="21" fillId="0" borderId="43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top"/>
    </xf>
    <xf numFmtId="166" fontId="4" fillId="8" borderId="0" xfId="3" applyNumberFormat="1" applyFont="1" applyFill="1" applyBorder="1" applyAlignment="1">
      <alignment vertical="center" wrapText="1"/>
    </xf>
    <xf numFmtId="166" fontId="4" fillId="0" borderId="0" xfId="4" applyNumberFormat="1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167" fontId="11" fillId="0" borderId="0" xfId="2" applyNumberFormat="1" applyFont="1" applyAlignment="1">
      <alignment horizontal="center" vertical="center" wrapText="1"/>
    </xf>
    <xf numFmtId="166" fontId="11" fillId="0" borderId="0" xfId="4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/>
    </xf>
    <xf numFmtId="0" fontId="40" fillId="0" borderId="0" xfId="8" applyFont="1" applyAlignment="1">
      <alignment horizontal="left" vertical="top" wrapText="1"/>
    </xf>
    <xf numFmtId="1" fontId="4" fillId="0" borderId="0" xfId="4" applyNumberFormat="1" applyFont="1" applyFill="1" applyBorder="1" applyAlignment="1">
      <alignment horizontal="center" vertical="center" wrapText="1"/>
    </xf>
    <xf numFmtId="1" fontId="11" fillId="0" borderId="0" xfId="4" applyNumberFormat="1" applyFont="1" applyFill="1" applyBorder="1" applyAlignment="1">
      <alignment horizontal="center" vertical="center" wrapText="1"/>
    </xf>
    <xf numFmtId="0" fontId="28" fillId="0" borderId="0" xfId="2" applyFont="1" applyAlignment="1">
      <alignment horizontal="justify" vertical="center" wrapText="1"/>
    </xf>
    <xf numFmtId="167" fontId="4" fillId="0" borderId="0" xfId="4" applyNumberFormat="1" applyFont="1" applyFill="1" applyBorder="1" applyAlignment="1">
      <alignment horizontal="center" vertical="center"/>
    </xf>
    <xf numFmtId="166" fontId="4" fillId="0" borderId="0" xfId="4" applyNumberFormat="1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167" fontId="21" fillId="0" borderId="0" xfId="2" applyNumberFormat="1" applyFont="1" applyAlignment="1">
      <alignment horizontal="center" vertical="center" wrapText="1"/>
    </xf>
    <xf numFmtId="166" fontId="21" fillId="0" borderId="0" xfId="4" applyNumberFormat="1" applyFont="1" applyBorder="1" applyAlignment="1">
      <alignment horizontal="center" vertical="center" wrapText="1"/>
    </xf>
    <xf numFmtId="0" fontId="4" fillId="8" borderId="0" xfId="2" applyFont="1" applyFill="1" applyAlignment="1">
      <alignment vertical="center" wrapText="1"/>
    </xf>
    <xf numFmtId="166" fontId="4" fillId="0" borderId="0" xfId="4" applyNumberFormat="1" applyFont="1" applyBorder="1" applyAlignment="1">
      <alignment vertical="center" wrapText="1"/>
    </xf>
    <xf numFmtId="166" fontId="4" fillId="0" borderId="0" xfId="4" applyNumberFormat="1" applyFont="1" applyAlignment="1">
      <alignment vertical="center" wrapText="1"/>
    </xf>
    <xf numFmtId="1" fontId="41" fillId="5" borderId="20" xfId="2" applyNumberFormat="1" applyFont="1" applyFill="1" applyBorder="1" applyAlignment="1">
      <alignment horizontal="center" vertical="center" wrapText="1"/>
    </xf>
    <xf numFmtId="170" fontId="4" fillId="0" borderId="0" xfId="2" applyNumberFormat="1" applyFont="1" applyAlignment="1">
      <alignment vertical="center" wrapText="1"/>
    </xf>
    <xf numFmtId="167" fontId="14" fillId="0" borderId="30" xfId="2" applyNumberFormat="1" applyFont="1" applyBorder="1" applyAlignment="1">
      <alignment horizontal="center" vertical="center" wrapText="1"/>
    </xf>
    <xf numFmtId="167" fontId="14" fillId="0" borderId="8" xfId="2" applyNumberFormat="1" applyFont="1" applyBorder="1" applyAlignment="1">
      <alignment horizontal="center" vertical="center" wrapText="1"/>
    </xf>
    <xf numFmtId="167" fontId="14" fillId="0" borderId="6" xfId="2" applyNumberFormat="1" applyFont="1" applyBorder="1" applyAlignment="1">
      <alignment horizontal="center" vertical="center" wrapText="1"/>
    </xf>
    <xf numFmtId="0" fontId="21" fillId="0" borderId="0" xfId="2" applyFont="1" applyAlignment="1">
      <alignment horizontal="right" vertical="center" wrapText="1"/>
    </xf>
    <xf numFmtId="0" fontId="21" fillId="0" borderId="15" xfId="2" applyFont="1" applyBorder="1" applyAlignment="1">
      <alignment horizontal="right" vertical="center" wrapText="1"/>
    </xf>
    <xf numFmtId="0" fontId="21" fillId="0" borderId="16" xfId="2" applyFont="1" applyBorder="1" applyAlignment="1">
      <alignment horizontal="right" vertical="center" wrapText="1"/>
    </xf>
    <xf numFmtId="0" fontId="21" fillId="0" borderId="40" xfId="2" applyFont="1" applyBorder="1" applyAlignment="1">
      <alignment horizontal="right" vertical="center" wrapText="1"/>
    </xf>
    <xf numFmtId="0" fontId="21" fillId="0" borderId="41" xfId="2" applyFont="1" applyBorder="1" applyAlignment="1">
      <alignment horizontal="right" vertical="center" wrapText="1"/>
    </xf>
    <xf numFmtId="0" fontId="21" fillId="0" borderId="42" xfId="2" applyFont="1" applyBorder="1" applyAlignment="1">
      <alignment horizontal="right" vertical="center" wrapText="1"/>
    </xf>
    <xf numFmtId="0" fontId="21" fillId="0" borderId="37" xfId="2" applyFont="1" applyBorder="1" applyAlignment="1">
      <alignment horizontal="right" vertical="center" wrapText="1"/>
    </xf>
    <xf numFmtId="0" fontId="21" fillId="0" borderId="28" xfId="2" applyFont="1" applyBorder="1" applyAlignment="1">
      <alignment horizontal="right" vertical="center" wrapText="1"/>
    </xf>
    <xf numFmtId="0" fontId="21" fillId="0" borderId="29" xfId="2" applyFont="1" applyBorder="1" applyAlignment="1">
      <alignment horizontal="right" vertical="center" wrapText="1"/>
    </xf>
    <xf numFmtId="0" fontId="21" fillId="0" borderId="4" xfId="2" applyFont="1" applyBorder="1" applyAlignment="1">
      <alignment horizontal="right" vertical="center" wrapText="1"/>
    </xf>
    <xf numFmtId="0" fontId="21" fillId="0" borderId="6" xfId="2" applyFont="1" applyBorder="1" applyAlignment="1">
      <alignment horizontal="right" vertical="center" wrapText="1"/>
    </xf>
    <xf numFmtId="0" fontId="21" fillId="0" borderId="32" xfId="2" applyFont="1" applyBorder="1" applyAlignment="1">
      <alignment horizontal="right" vertical="center" wrapText="1"/>
    </xf>
    <xf numFmtId="0" fontId="12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1" fontId="14" fillId="0" borderId="16" xfId="2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7" xfId="2" applyFont="1" applyBorder="1" applyAlignment="1">
      <alignment horizontal="center" vertical="center" wrapText="1"/>
    </xf>
    <xf numFmtId="1" fontId="14" fillId="0" borderId="22" xfId="2" applyNumberFormat="1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1" fontId="14" fillId="0" borderId="29" xfId="2" applyNumberFormat="1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30" xfId="2" applyFont="1" applyBorder="1" applyAlignment="1">
      <alignment horizontal="center" vertical="center" wrapText="1"/>
    </xf>
    <xf numFmtId="1" fontId="11" fillId="0" borderId="0" xfId="2" applyNumberFormat="1" applyFont="1" applyAlignment="1">
      <alignment horizontal="center" vertical="center" wrapText="1"/>
    </xf>
    <xf numFmtId="164" fontId="18" fillId="0" borderId="0" xfId="6" applyNumberFormat="1" applyFont="1" applyFill="1" applyBorder="1" applyAlignment="1" applyProtection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4" fillId="0" borderId="16" xfId="2" applyFont="1" applyBorder="1" applyAlignment="1">
      <alignment vertical="center" wrapText="1"/>
    </xf>
    <xf numFmtId="0" fontId="15" fillId="0" borderId="0" xfId="2" applyFont="1" applyAlignment="1">
      <alignment vertical="center" wrapText="1"/>
    </xf>
    <xf numFmtId="0" fontId="15" fillId="0" borderId="17" xfId="2" applyFont="1" applyBorder="1" applyAlignment="1">
      <alignment vertical="center" wrapText="1"/>
    </xf>
    <xf numFmtId="0" fontId="14" fillId="0" borderId="16" xfId="2" applyFont="1" applyBorder="1" applyAlignment="1">
      <alignment horizontal="justify" vertical="center" wrapText="1"/>
    </xf>
    <xf numFmtId="0" fontId="14" fillId="0" borderId="16" xfId="2" applyFont="1" applyBorder="1" applyAlignment="1">
      <alignment horizontal="left" vertical="center" wrapText="1"/>
    </xf>
    <xf numFmtId="1" fontId="14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1" fontId="14" fillId="0" borderId="11" xfId="2" applyNumberFormat="1" applyFont="1" applyBorder="1" applyAlignment="1">
      <alignment horizontal="center" vertical="center" wrapText="1"/>
    </xf>
    <xf numFmtId="0" fontId="14" fillId="0" borderId="44" xfId="2" applyFont="1" applyBorder="1" applyAlignment="1">
      <alignment vertical="center" wrapText="1"/>
    </xf>
    <xf numFmtId="0" fontId="15" fillId="0" borderId="45" xfId="2" applyFont="1" applyBorder="1" applyAlignment="1">
      <alignment vertical="center" wrapText="1"/>
    </xf>
    <xf numFmtId="0" fontId="15" fillId="0" borderId="46" xfId="2" applyFont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164" fontId="21" fillId="9" borderId="47" xfId="1" applyNumberFormat="1" applyFont="1" applyFill="1" applyBorder="1" applyAlignment="1">
      <alignment horizontal="center" vertical="center" wrapText="1"/>
    </xf>
    <xf numFmtId="164" fontId="4" fillId="9" borderId="16" xfId="2" applyNumberFormat="1" applyFont="1" applyFill="1" applyBorder="1" applyAlignment="1">
      <alignment horizontal="center" vertical="center" wrapText="1"/>
    </xf>
    <xf numFmtId="164" fontId="42" fillId="9" borderId="7" xfId="1" applyNumberFormat="1" applyFont="1" applyFill="1" applyBorder="1" applyAlignment="1">
      <alignment horizontal="center" vertical="center" wrapText="1"/>
    </xf>
    <xf numFmtId="164" fontId="42" fillId="9" borderId="0" xfId="1" applyNumberFormat="1" applyFont="1" applyFill="1" applyBorder="1" applyAlignment="1">
      <alignment horizontal="center" vertical="center" wrapText="1"/>
    </xf>
    <xf numFmtId="1" fontId="4" fillId="9" borderId="20" xfId="2" applyNumberFormat="1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1" fontId="4" fillId="3" borderId="0" xfId="2" applyNumberFormat="1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164" fontId="4" fillId="3" borderId="0" xfId="2" applyNumberFormat="1" applyFont="1" applyFill="1" applyAlignment="1">
      <alignment horizontal="center" vertical="center" wrapText="1"/>
    </xf>
    <xf numFmtId="0" fontId="5" fillId="3" borderId="0" xfId="2" applyFont="1" applyFill="1" applyAlignment="1">
      <alignment horizontal="left" vertical="center" wrapText="1"/>
    </xf>
    <xf numFmtId="0" fontId="5" fillId="3" borderId="0" xfId="2" applyFont="1" applyFill="1" applyAlignment="1">
      <alignment horizontal="center"/>
    </xf>
    <xf numFmtId="0" fontId="5" fillId="3" borderId="0" xfId="2" applyFont="1" applyFill="1" applyAlignment="1">
      <alignment horizontal="center" vertical="center" wrapText="1"/>
    </xf>
    <xf numFmtId="0" fontId="8" fillId="3" borderId="0" xfId="2" applyFont="1" applyFill="1" applyAlignment="1">
      <alignment horizontal="left" vertical="center"/>
    </xf>
    <xf numFmtId="0" fontId="9" fillId="3" borderId="0" xfId="2" applyFont="1" applyFill="1" applyAlignment="1">
      <alignment vertical="center"/>
    </xf>
    <xf numFmtId="14" fontId="4" fillId="3" borderId="0" xfId="2" applyNumberFormat="1" applyFont="1" applyFill="1" applyAlignment="1">
      <alignment horizontal="center" vertical="center" wrapText="1"/>
    </xf>
    <xf numFmtId="0" fontId="10" fillId="3" borderId="0" xfId="2" applyFont="1" applyFill="1" applyAlignment="1">
      <alignment horizontal="left" vertical="center"/>
    </xf>
    <xf numFmtId="0" fontId="9" fillId="3" borderId="0" xfId="2" applyFont="1" applyFill="1" applyAlignment="1">
      <alignment horizontal="left" vertical="center"/>
    </xf>
    <xf numFmtId="17" fontId="11" fillId="3" borderId="0" xfId="2" applyNumberFormat="1" applyFont="1" applyFill="1" applyAlignment="1">
      <alignment horizontal="center" vertical="center" wrapText="1"/>
    </xf>
    <xf numFmtId="164" fontId="11" fillId="3" borderId="0" xfId="2" applyNumberFormat="1" applyFont="1" applyFill="1" applyAlignment="1">
      <alignment horizontal="center" vertical="center" wrapText="1"/>
    </xf>
    <xf numFmtId="0" fontId="12" fillId="3" borderId="0" xfId="2" applyFont="1" applyFill="1" applyAlignment="1">
      <alignment horizontal="left" vertical="center"/>
    </xf>
    <xf numFmtId="0" fontId="4" fillId="3" borderId="0" xfId="2" applyFont="1" applyFill="1" applyAlignment="1">
      <alignment vertical="center"/>
    </xf>
    <xf numFmtId="1" fontId="11" fillId="3" borderId="0" xfId="2" applyNumberFormat="1" applyFont="1" applyFill="1" applyAlignment="1">
      <alignment horizontal="center" vertical="center" wrapText="1"/>
    </xf>
    <xf numFmtId="0" fontId="13" fillId="3" borderId="0" xfId="2" applyFont="1" applyFill="1" applyAlignment="1">
      <alignment horizontal="center" vertical="center" wrapText="1"/>
    </xf>
  </cellXfs>
  <cellStyles count="9">
    <cellStyle name="Comma 2" xfId="4" xr:uid="{FA5F4F20-467E-4001-916A-3DA603E1E967}"/>
    <cellStyle name="Good" xfId="1" builtinId="26"/>
    <cellStyle name="Hyperlink" xfId="6" builtinId="8"/>
    <cellStyle name="Komma 2" xfId="3" xr:uid="{85A32687-F24E-44F5-8547-CF100FDF2CA0}"/>
    <cellStyle name="Normaal 2" xfId="2" xr:uid="{266D3B2E-F8C1-49BC-AFB7-ECC086EEF188}"/>
    <cellStyle name="Normal" xfId="0" builtinId="0"/>
    <cellStyle name="Normal 17" xfId="7" xr:uid="{C50BBD9C-1674-4693-A64C-759F7D45B1FC}"/>
    <cellStyle name="Normal 2" xfId="5" xr:uid="{4C7CF5C6-3C0E-4585-8C78-F627CE1D0798}"/>
    <cellStyle name="Normal 7" xfId="8" xr:uid="{CA2EA763-B643-4F10-9A7E-D868C1804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renal/Documents/WCID/Goewerneurpark/Goewerneur%20Park%20BOQs%2004052026%20(1).xlsx" TargetMode="External"/><Relationship Id="rId2" Type="http://schemas.openxmlformats.org/officeDocument/2006/relationships/externalLinkPath" Target="file:///C:\Users\renal\Documents\WCID\Goewerneurpark\Goewerneur%20Park%20BOQs%2004052026%20(1).xlsx" TargetMode="External"/><Relationship Id="rId1" Type="http://schemas.openxmlformats.org/officeDocument/2006/relationships/externalLinkPath" Target="/Users/renal/Documents/WCID/Goewerneurpark/Goewerneur%20Park%20BOQs%200405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OQ (2)"/>
      <sheetName val="Summary"/>
      <sheetName val="BOQ"/>
      <sheetName val="Sheet1"/>
      <sheetName val="Quantaties"/>
      <sheetName val="irrigation b.o.q"/>
      <sheetName val="Reduced scope"/>
      <sheetName val="Quantaties (2)"/>
      <sheetName val="Sheet2"/>
    </sheetNames>
    <sheetDataSet>
      <sheetData sheetId="0"/>
      <sheetData sheetId="1"/>
      <sheetData sheetId="2"/>
      <sheetData sheetId="3"/>
      <sheetData sheetId="4">
        <row r="9">
          <cell r="D9">
            <v>839</v>
          </cell>
        </row>
        <row r="10">
          <cell r="D10">
            <v>877</v>
          </cell>
        </row>
        <row r="11">
          <cell r="D11">
            <v>6</v>
          </cell>
        </row>
        <row r="12">
          <cell r="D12">
            <v>1420</v>
          </cell>
        </row>
        <row r="21">
          <cell r="D21">
            <v>3142</v>
          </cell>
        </row>
        <row r="35">
          <cell r="D35">
            <v>884</v>
          </cell>
        </row>
        <row r="36">
          <cell r="D36">
            <v>155</v>
          </cell>
        </row>
        <row r="44">
          <cell r="D44">
            <v>90</v>
          </cell>
        </row>
        <row r="47">
          <cell r="D47">
            <v>56</v>
          </cell>
        </row>
        <row r="50">
          <cell r="D50">
            <v>0</v>
          </cell>
        </row>
        <row r="54">
          <cell r="D54">
            <v>31.5</v>
          </cell>
        </row>
        <row r="55">
          <cell r="D55">
            <v>21</v>
          </cell>
        </row>
        <row r="68">
          <cell r="D68">
            <v>4</v>
          </cell>
        </row>
        <row r="69">
          <cell r="D69">
            <v>1</v>
          </cell>
        </row>
      </sheetData>
      <sheetData sheetId="5"/>
      <sheetData sheetId="6"/>
      <sheetData sheetId="7"/>
      <sheetData sheetId="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mothy Snyders" id="{83079FDC-A75A-4D8E-8049-FDD46B941469}" userId="S::timothy@tfla.co.za::1670e416-7b5a-4940-a3ff-443859b1dc6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08" dT="2025-12-08T11:31:05.98" personId="{83079FDC-A75A-4D8E-8049-FDD46B941469}" id="{1DA3E435-8AA7-4E47-987E-25D66E05126D}">
    <text>Reduced to 75mm</text>
  </threadedComment>
  <threadedComment ref="W108" dT="2025-12-08T11:31:05.98" personId="{83079FDC-A75A-4D8E-8049-FDD46B941469}" id="{64499F5C-45C5-4F24-BBC5-D254B6510259}">
    <text>Reduced to 75mm</text>
  </threadedComment>
  <threadedComment ref="D173" dT="2025-12-10T10:09:41.63" personId="{83079FDC-A75A-4D8E-8049-FDD46B941469}" id="{5EF43BAB-421B-400A-A520-44D436CDB0D8}">
    <text xml:space="preserve">Reduced from 3500
</text>
  </threadedComment>
  <threadedComment ref="D178" dT="2025-12-08T11:34:20.74" personId="{83079FDC-A75A-4D8E-8049-FDD46B941469}" id="{CC93AD13-10D6-4994-B577-10016307D3F0}">
    <text>Reduced from 29</text>
  </threadedComment>
  <threadedComment ref="W178" dT="2025-12-08T11:34:20.74" personId="{83079FDC-A75A-4D8E-8049-FDD46B941469}" id="{BF8DD0F7-E3AE-44AE-8920-DD8635DD0999}">
    <text>Reduced from 29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3199-6A7E-4D1E-8F1F-66AAEDE2E222}">
  <sheetPr>
    <pageSetUpPr fitToPage="1"/>
  </sheetPr>
  <dimension ref="A1:AI348"/>
  <sheetViews>
    <sheetView showZeros="0" tabSelected="1" view="pageBreakPreview" topLeftCell="C77" zoomScaleNormal="60" zoomScaleSheetLayoutView="100" zoomScalePageLayoutView="85" workbookViewId="0">
      <selection activeCell="J74" sqref="J74:K74"/>
    </sheetView>
  </sheetViews>
  <sheetFormatPr defaultColWidth="9.140625" defaultRowHeight="13.5" outlineLevelRow="2" outlineLevelCol="1" x14ac:dyDescent="0.25"/>
  <cols>
    <col min="1" max="1" width="4" style="2" customWidth="1"/>
    <col min="2" max="2" width="7.7109375" style="1" customWidth="1"/>
    <col min="3" max="3" width="67.28515625" style="2" customWidth="1"/>
    <col min="4" max="4" width="10.42578125" style="3" bestFit="1" customWidth="1"/>
    <col min="5" max="5" width="13.42578125" style="3" bestFit="1" customWidth="1"/>
    <col min="6" max="6" width="8" style="3" bestFit="1" customWidth="1"/>
    <col min="7" max="7" width="9" style="4" bestFit="1" customWidth="1"/>
    <col min="8" max="8" width="16.85546875" style="5" bestFit="1" customWidth="1"/>
    <col min="9" max="9" width="12.7109375" style="2" bestFit="1" customWidth="1" outlineLevel="1"/>
    <col min="10" max="10" width="19.42578125" style="2" bestFit="1" customWidth="1" outlineLevel="1"/>
    <col min="11" max="11" width="18.7109375" style="2" bestFit="1" customWidth="1" outlineLevel="1"/>
    <col min="12" max="12" width="24.7109375" style="5" bestFit="1" customWidth="1"/>
    <col min="13" max="13" width="31.28515625" style="2" customWidth="1"/>
    <col min="14" max="14" width="18.42578125" style="2" customWidth="1"/>
    <col min="15" max="15" width="10.7109375" style="6" bestFit="1" customWidth="1"/>
    <col min="16" max="16" width="21" style="288" customWidth="1"/>
    <col min="17" max="17" width="44.7109375" style="2" hidden="1" customWidth="1" outlineLevel="1"/>
    <col min="18" max="18" width="1.28515625" style="2" customWidth="1" collapsed="1"/>
    <col min="19" max="20" width="1.28515625" style="2" customWidth="1"/>
    <col min="21" max="21" width="10.7109375" style="1" customWidth="1" outlineLevel="1"/>
    <col min="22" max="22" width="45.7109375" style="2" customWidth="1" outlineLevel="1"/>
    <col min="23" max="23" width="7.7109375" style="3" customWidth="1" outlineLevel="1"/>
    <col min="24" max="24" width="11.140625" style="4" customWidth="1" outlineLevel="1"/>
    <col min="25" max="25" width="11.140625" style="5" customWidth="1" outlineLevel="1"/>
    <col min="26" max="26" width="15.7109375" style="7" bestFit="1" customWidth="1"/>
    <col min="27" max="28" width="14.28515625" style="2" hidden="1" customWidth="1"/>
    <col min="29" max="29" width="9.140625" style="2" customWidth="1" outlineLevel="1"/>
    <col min="30" max="30" width="39.85546875" style="2" customWidth="1" outlineLevel="1"/>
    <col min="31" max="31" width="9.5703125" style="2" customWidth="1" outlineLevel="1"/>
    <col min="32" max="33" width="11.140625" style="2" customWidth="1" outlineLevel="1"/>
    <col min="34" max="34" width="15.7109375" style="290" bestFit="1" customWidth="1"/>
    <col min="35" max="35" width="19.7109375" style="2" customWidth="1"/>
    <col min="36" max="16384" width="9.140625" style="2"/>
  </cols>
  <sheetData>
    <row r="1" spans="2:34" x14ac:dyDescent="0.25">
      <c r="B1" s="341"/>
      <c r="C1" s="342"/>
      <c r="D1" s="343"/>
      <c r="E1" s="343"/>
      <c r="F1" s="343"/>
      <c r="G1" s="344"/>
      <c r="H1" s="345"/>
      <c r="I1" s="345"/>
      <c r="J1" s="345"/>
      <c r="K1" s="345"/>
      <c r="L1" s="345"/>
      <c r="M1" s="342"/>
      <c r="P1" s="2"/>
      <c r="AC1" s="1"/>
      <c r="AE1" s="3"/>
      <c r="AF1" s="4"/>
      <c r="AG1" s="5"/>
      <c r="AH1" s="7"/>
    </row>
    <row r="2" spans="2:34" x14ac:dyDescent="0.25">
      <c r="B2" s="341"/>
      <c r="C2" s="342"/>
      <c r="D2" s="343"/>
      <c r="E2" s="343"/>
      <c r="F2" s="343"/>
      <c r="G2" s="344"/>
      <c r="H2" s="345"/>
      <c r="I2" s="345"/>
      <c r="J2" s="345"/>
      <c r="K2" s="345"/>
      <c r="L2" s="345"/>
      <c r="M2" s="342"/>
      <c r="P2" s="2"/>
      <c r="AC2" s="1"/>
      <c r="AE2" s="3"/>
      <c r="AF2" s="4"/>
      <c r="AG2" s="5"/>
      <c r="AH2" s="7"/>
    </row>
    <row r="3" spans="2:34" ht="15" x14ac:dyDescent="0.3">
      <c r="B3" s="341"/>
      <c r="C3" s="342"/>
      <c r="D3" s="346" t="s">
        <v>0</v>
      </c>
      <c r="E3" s="346"/>
      <c r="F3" s="346"/>
      <c r="G3" s="346"/>
      <c r="H3" s="345"/>
      <c r="I3" s="345"/>
      <c r="J3" s="345"/>
      <c r="K3" s="345"/>
      <c r="L3" s="347" t="s">
        <v>1</v>
      </c>
      <c r="M3" s="342"/>
      <c r="P3" s="2"/>
      <c r="W3" s="335"/>
      <c r="X3" s="335"/>
      <c r="Z3" s="8"/>
      <c r="AC3" s="1"/>
      <c r="AE3" s="335"/>
      <c r="AF3" s="335"/>
      <c r="AG3" s="5"/>
      <c r="AH3" s="8"/>
    </row>
    <row r="4" spans="2:34" ht="30" x14ac:dyDescent="0.25">
      <c r="B4" s="341"/>
      <c r="C4" s="342"/>
      <c r="D4" s="346" t="s">
        <v>2</v>
      </c>
      <c r="E4" s="346"/>
      <c r="F4" s="346"/>
      <c r="G4" s="346"/>
      <c r="H4" s="345"/>
      <c r="I4" s="345"/>
      <c r="J4" s="345"/>
      <c r="K4" s="345"/>
      <c r="L4" s="348" t="s">
        <v>3</v>
      </c>
      <c r="M4" s="342"/>
      <c r="P4" s="2"/>
      <c r="W4" s="335"/>
      <c r="X4" s="335"/>
      <c r="Z4" s="9"/>
      <c r="AC4" s="1"/>
      <c r="AE4" s="335"/>
      <c r="AF4" s="335"/>
      <c r="AG4" s="5"/>
      <c r="AH4" s="9"/>
    </row>
    <row r="5" spans="2:34" ht="15" x14ac:dyDescent="0.3">
      <c r="B5" s="341"/>
      <c r="C5" s="342"/>
      <c r="D5" s="346" t="s">
        <v>4</v>
      </c>
      <c r="E5" s="346"/>
      <c r="F5" s="346"/>
      <c r="G5" s="346"/>
      <c r="H5" s="345"/>
      <c r="I5" s="345"/>
      <c r="J5" s="345"/>
      <c r="K5" s="345"/>
      <c r="L5" s="347" t="s">
        <v>5</v>
      </c>
      <c r="M5" s="342"/>
      <c r="P5" s="2"/>
      <c r="W5" s="335"/>
      <c r="X5" s="335"/>
      <c r="Z5" s="8"/>
      <c r="AC5" s="1"/>
      <c r="AE5" s="335"/>
      <c r="AF5" s="335"/>
      <c r="AG5" s="5"/>
      <c r="AH5" s="8"/>
    </row>
    <row r="6" spans="2:34" ht="15" x14ac:dyDescent="0.3">
      <c r="B6" s="341"/>
      <c r="C6" s="342"/>
      <c r="D6" s="346" t="s">
        <v>6</v>
      </c>
      <c r="E6" s="346"/>
      <c r="F6" s="346"/>
      <c r="G6" s="346"/>
      <c r="H6" s="345"/>
      <c r="I6" s="345"/>
      <c r="J6" s="345"/>
      <c r="K6" s="345"/>
      <c r="L6" s="347" t="s">
        <v>7</v>
      </c>
      <c r="M6" s="342"/>
      <c r="P6" s="2"/>
      <c r="W6" s="335"/>
      <c r="X6" s="335"/>
      <c r="Z6" s="8"/>
      <c r="AC6" s="1"/>
      <c r="AE6" s="335"/>
      <c r="AF6" s="335"/>
      <c r="AG6" s="5"/>
      <c r="AH6" s="8"/>
    </row>
    <row r="7" spans="2:34" x14ac:dyDescent="0.25">
      <c r="B7" s="341"/>
      <c r="C7" s="342"/>
      <c r="D7" s="343"/>
      <c r="E7" s="343"/>
      <c r="F7" s="343"/>
      <c r="G7" s="344"/>
      <c r="H7" s="345"/>
      <c r="I7" s="345"/>
      <c r="J7" s="345"/>
      <c r="K7" s="345"/>
      <c r="L7" s="345"/>
      <c r="M7" s="342"/>
      <c r="P7" s="2"/>
      <c r="AC7" s="1"/>
      <c r="AE7" s="3"/>
      <c r="AF7" s="4"/>
      <c r="AG7" s="5"/>
      <c r="AH7" s="7"/>
    </row>
    <row r="8" spans="2:34" x14ac:dyDescent="0.25">
      <c r="B8" s="341"/>
      <c r="C8" s="342"/>
      <c r="D8" s="343"/>
      <c r="E8" s="343"/>
      <c r="F8" s="343"/>
      <c r="G8" s="344"/>
      <c r="H8" s="345"/>
      <c r="I8" s="345"/>
      <c r="J8" s="345"/>
      <c r="K8" s="345"/>
      <c r="L8" s="345"/>
      <c r="M8" s="342"/>
      <c r="P8" s="2"/>
      <c r="AC8" s="1"/>
      <c r="AE8" s="3"/>
      <c r="AF8" s="4"/>
      <c r="AG8" s="5"/>
      <c r="AH8" s="7"/>
    </row>
    <row r="9" spans="2:34" x14ac:dyDescent="0.25">
      <c r="B9" s="341"/>
      <c r="C9" s="342"/>
      <c r="D9" s="343"/>
      <c r="E9" s="343"/>
      <c r="F9" s="343"/>
      <c r="G9" s="344"/>
      <c r="H9" s="345"/>
      <c r="I9" s="345"/>
      <c r="J9" s="345"/>
      <c r="K9" s="345"/>
      <c r="L9" s="345"/>
      <c r="M9" s="342"/>
      <c r="P9" s="2"/>
      <c r="AC9" s="1"/>
      <c r="AE9" s="3"/>
      <c r="AF9" s="4"/>
      <c r="AG9" s="5"/>
      <c r="AH9" s="7"/>
    </row>
    <row r="10" spans="2:34" ht="31.5" x14ac:dyDescent="0.25">
      <c r="B10" s="349" t="s">
        <v>8</v>
      </c>
      <c r="C10" s="350"/>
      <c r="D10" s="343"/>
      <c r="E10" s="343"/>
      <c r="F10" s="343"/>
      <c r="G10" s="343"/>
      <c r="H10" s="343"/>
      <c r="I10" s="342"/>
      <c r="J10" s="342"/>
      <c r="K10" s="342"/>
      <c r="L10" s="351"/>
      <c r="M10" s="342"/>
      <c r="P10" s="2"/>
      <c r="U10" s="2"/>
      <c r="W10" s="2"/>
      <c r="X10" s="2"/>
      <c r="Y10" s="2"/>
      <c r="Z10" s="2"/>
      <c r="AH10" s="2"/>
    </row>
    <row r="11" spans="2:34" ht="13.9" customHeight="1" x14ac:dyDescent="0.25">
      <c r="B11" s="341"/>
      <c r="C11" s="342"/>
      <c r="D11" s="343"/>
      <c r="E11" s="343"/>
      <c r="F11" s="343"/>
      <c r="G11" s="343"/>
      <c r="H11" s="343"/>
      <c r="I11" s="342"/>
      <c r="J11" s="342"/>
      <c r="K11" s="342"/>
      <c r="L11" s="345"/>
      <c r="M11" s="342"/>
      <c r="P11" s="2"/>
      <c r="U11" s="2"/>
      <c r="W11" s="2"/>
      <c r="X11" s="2"/>
      <c r="Y11" s="2"/>
      <c r="Z11" s="2"/>
      <c r="AH11" s="2"/>
    </row>
    <row r="12" spans="2:34" ht="21" x14ac:dyDescent="0.25">
      <c r="B12" s="352" t="s">
        <v>9</v>
      </c>
      <c r="C12" s="353"/>
      <c r="D12" s="343"/>
      <c r="E12" s="343"/>
      <c r="F12" s="343"/>
      <c r="G12" s="343"/>
      <c r="H12" s="343"/>
      <c r="I12" s="342"/>
      <c r="J12" s="342"/>
      <c r="K12" s="342"/>
      <c r="L12" s="354"/>
      <c r="M12" s="342"/>
      <c r="P12" s="2"/>
      <c r="U12" s="2"/>
      <c r="W12" s="2"/>
      <c r="X12" s="2"/>
      <c r="Y12" s="2"/>
      <c r="Z12" s="2"/>
      <c r="AH12" s="2"/>
    </row>
    <row r="13" spans="2:34" ht="21" hidden="1" customHeight="1" x14ac:dyDescent="0.25">
      <c r="B13" s="352"/>
      <c r="C13" s="353"/>
      <c r="D13" s="343"/>
      <c r="E13" s="343"/>
      <c r="F13" s="343"/>
      <c r="G13" s="343"/>
      <c r="H13" s="343"/>
      <c r="I13" s="342"/>
      <c r="J13" s="342"/>
      <c r="K13" s="342"/>
      <c r="L13" s="355"/>
      <c r="M13" s="342"/>
      <c r="P13" s="2"/>
      <c r="U13" s="2"/>
      <c r="W13" s="2"/>
      <c r="X13" s="2"/>
      <c r="Y13" s="2"/>
      <c r="Z13" s="2"/>
      <c r="AH13" s="2"/>
    </row>
    <row r="14" spans="2:34" ht="25.5" customHeight="1" x14ac:dyDescent="0.25">
      <c r="B14" s="356" t="s">
        <v>10</v>
      </c>
      <c r="C14" s="357"/>
      <c r="D14" s="358"/>
      <c r="E14" s="358"/>
      <c r="F14" s="358"/>
      <c r="G14" s="358"/>
      <c r="H14" s="345"/>
      <c r="I14" s="359"/>
      <c r="J14" s="359"/>
      <c r="K14" s="359"/>
      <c r="L14" s="359"/>
      <c r="M14" s="342"/>
      <c r="P14" s="14"/>
      <c r="U14" s="2"/>
      <c r="W14" s="2"/>
      <c r="X14" s="2"/>
      <c r="Y14" s="2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2:34" ht="25.5" customHeight="1" thickBot="1" x14ac:dyDescent="0.3">
      <c r="B15" s="11"/>
      <c r="C15" s="12"/>
      <c r="D15" s="19"/>
      <c r="E15" s="13"/>
      <c r="F15" s="42"/>
      <c r="G15" s="42"/>
      <c r="H15" s="42"/>
      <c r="I15" s="42"/>
      <c r="J15" s="43"/>
      <c r="K15" s="43"/>
      <c r="L15" s="43"/>
      <c r="P15" s="14"/>
      <c r="U15" s="2"/>
      <c r="W15" s="2"/>
      <c r="X15" s="2"/>
      <c r="Y15" s="2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2:34" ht="25.5" customHeight="1" x14ac:dyDescent="0.25">
      <c r="B16" s="11"/>
      <c r="C16" s="12"/>
      <c r="D16" s="15"/>
      <c r="E16" s="16"/>
      <c r="F16" s="16"/>
      <c r="G16" s="329" t="s">
        <v>26</v>
      </c>
      <c r="H16" s="330"/>
      <c r="I16" s="330"/>
      <c r="J16" s="330"/>
      <c r="K16" s="330"/>
      <c r="L16" s="17"/>
      <c r="P16" s="14"/>
      <c r="U16" s="2"/>
      <c r="W16" s="2"/>
      <c r="X16" s="2"/>
      <c r="Y16" s="2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2:34" ht="25.5" customHeight="1" thickBot="1" x14ac:dyDescent="0.3">
      <c r="B17" s="11"/>
      <c r="C17" s="12"/>
      <c r="D17" s="18"/>
      <c r="E17" s="19"/>
      <c r="F17" s="19"/>
      <c r="G17" s="19"/>
      <c r="H17" s="20"/>
      <c r="I17" s="21"/>
      <c r="J17" s="21"/>
      <c r="K17" s="21"/>
      <c r="L17" s="22"/>
      <c r="P17" s="14"/>
      <c r="U17" s="2"/>
      <c r="W17" s="2"/>
      <c r="X17" s="2"/>
      <c r="Y17" s="2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2:34" ht="42" customHeight="1" thickBot="1" x14ac:dyDescent="0.3">
      <c r="B18" s="11"/>
      <c r="C18" s="12"/>
      <c r="D18" s="23"/>
      <c r="E18" s="13"/>
      <c r="F18" s="13"/>
      <c r="G18" s="13"/>
      <c r="I18" s="14"/>
      <c r="J18" s="24" t="s">
        <v>11</v>
      </c>
      <c r="K18" s="24" t="s">
        <v>213</v>
      </c>
      <c r="L18" s="25" t="s">
        <v>12</v>
      </c>
      <c r="P18" s="14"/>
      <c r="U18" s="2"/>
      <c r="W18" s="2"/>
      <c r="X18" s="2"/>
      <c r="Y18" s="2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2:34" ht="25.5" customHeight="1" x14ac:dyDescent="0.25">
      <c r="B19" s="11"/>
      <c r="C19" s="12"/>
      <c r="D19" s="26"/>
      <c r="E19" s="331" t="s">
        <v>13</v>
      </c>
      <c r="F19" s="314"/>
      <c r="G19" s="314"/>
      <c r="H19" s="314"/>
      <c r="I19" s="315"/>
      <c r="J19" s="27" t="s">
        <v>14</v>
      </c>
      <c r="K19" s="27" t="s">
        <v>14</v>
      </c>
      <c r="L19" s="28" t="s">
        <v>14</v>
      </c>
      <c r="P19" s="14"/>
      <c r="U19" s="2"/>
      <c r="W19" s="2"/>
      <c r="X19" s="2"/>
      <c r="Y19" s="2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2:34" ht="31.5" customHeight="1" x14ac:dyDescent="0.25">
      <c r="B20" s="2"/>
      <c r="D20" s="29">
        <v>1</v>
      </c>
      <c r="E20" s="332" t="s">
        <v>15</v>
      </c>
      <c r="F20" s="333"/>
      <c r="G20" s="333"/>
      <c r="H20" s="333"/>
      <c r="I20" s="334"/>
      <c r="J20" s="30">
        <f>+J$71</f>
        <v>77000</v>
      </c>
      <c r="K20" s="30">
        <f>+K$71</f>
        <v>77000</v>
      </c>
      <c r="L20" s="44">
        <f>+L$71</f>
        <v>46300</v>
      </c>
      <c r="P20" s="14"/>
      <c r="U20" s="2"/>
      <c r="W20" s="2"/>
      <c r="X20" s="2"/>
      <c r="Y20" s="2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2:34" ht="33" customHeight="1" x14ac:dyDescent="0.25">
      <c r="B21" s="2"/>
      <c r="D21" s="32">
        <v>2</v>
      </c>
      <c r="E21" s="324" t="s">
        <v>16</v>
      </c>
      <c r="F21" s="325"/>
      <c r="G21" s="325"/>
      <c r="H21" s="325"/>
      <c r="I21" s="326"/>
      <c r="J21" s="33">
        <f>+J95</f>
        <v>116168.9375</v>
      </c>
      <c r="K21" s="33">
        <f t="shared" ref="K21:L21" si="0">+K95</f>
        <v>94288.75</v>
      </c>
      <c r="L21" s="31">
        <f t="shared" si="0"/>
        <v>62189.975000000006</v>
      </c>
      <c r="P21" s="14"/>
      <c r="U21" s="2"/>
      <c r="W21" s="2"/>
      <c r="X21" s="2"/>
      <c r="Y21" s="2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2:34" ht="25.5" customHeight="1" x14ac:dyDescent="0.25">
      <c r="B22" s="2"/>
      <c r="D22" s="32">
        <v>3</v>
      </c>
      <c r="E22" s="324" t="s">
        <v>17</v>
      </c>
      <c r="F22" s="325"/>
      <c r="G22" s="325"/>
      <c r="H22" s="325"/>
      <c r="I22" s="326"/>
      <c r="J22" s="33">
        <f>+J135</f>
        <v>347336.92812500003</v>
      </c>
      <c r="K22" s="33">
        <f t="shared" ref="K22:L22" si="1">+K135</f>
        <v>321538.7</v>
      </c>
      <c r="L22" s="31">
        <f t="shared" si="1"/>
        <v>264343.95</v>
      </c>
      <c r="P22" s="14"/>
      <c r="U22" s="2"/>
      <c r="W22" s="2"/>
      <c r="X22" s="2"/>
      <c r="Y22" s="2"/>
      <c r="Z22" s="14"/>
      <c r="AA22" s="14"/>
      <c r="AB22" s="14"/>
      <c r="AC22" s="14"/>
      <c r="AD22" s="14"/>
      <c r="AE22" s="14"/>
      <c r="AF22" s="14"/>
      <c r="AG22" s="14"/>
      <c r="AH22" s="14"/>
    </row>
    <row r="23" spans="2:34" ht="25.5" customHeight="1" x14ac:dyDescent="0.25">
      <c r="B23" s="2"/>
      <c r="D23" s="32">
        <v>4</v>
      </c>
      <c r="E23" s="327" t="s">
        <v>18</v>
      </c>
      <c r="F23" s="325"/>
      <c r="G23" s="325"/>
      <c r="H23" s="325"/>
      <c r="I23" s="326"/>
      <c r="J23" s="33">
        <f>+J160</f>
        <v>71930</v>
      </c>
      <c r="K23" s="33">
        <f t="shared" ref="K23:L23" si="2">+K160</f>
        <v>152920</v>
      </c>
      <c r="L23" s="31">
        <f t="shared" si="2"/>
        <v>10720</v>
      </c>
      <c r="P23" s="14"/>
      <c r="U23" s="2"/>
      <c r="W23" s="2"/>
      <c r="X23" s="2"/>
      <c r="Y23" s="2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2:34" ht="25.5" customHeight="1" x14ac:dyDescent="0.25">
      <c r="B24" s="2"/>
      <c r="D24" s="32">
        <v>5</v>
      </c>
      <c r="E24" s="328" t="s">
        <v>19</v>
      </c>
      <c r="F24" s="325"/>
      <c r="G24" s="325"/>
      <c r="H24" s="325"/>
      <c r="I24" s="326"/>
      <c r="J24" s="33">
        <f>+J183</f>
        <v>262400</v>
      </c>
      <c r="K24" s="33">
        <f t="shared" ref="K24:L24" si="3">+K183</f>
        <v>187615</v>
      </c>
      <c r="L24" s="31">
        <f t="shared" si="3"/>
        <v>625079605</v>
      </c>
      <c r="P24" s="14"/>
      <c r="U24" s="2"/>
      <c r="W24" s="2"/>
      <c r="X24" s="2"/>
      <c r="Y24" s="2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2:34" ht="25.5" customHeight="1" x14ac:dyDescent="0.25">
      <c r="B25" s="2"/>
      <c r="D25" s="32">
        <v>6</v>
      </c>
      <c r="E25" s="328" t="s">
        <v>20</v>
      </c>
      <c r="F25" s="325"/>
      <c r="G25" s="325"/>
      <c r="H25" s="325"/>
      <c r="I25" s="326"/>
      <c r="J25" s="33">
        <f>+J220</f>
        <v>475157.86000000004</v>
      </c>
      <c r="K25" s="33">
        <f t="shared" ref="K25:L25" si="4">+K220</f>
        <v>312864.78000000003</v>
      </c>
      <c r="L25" s="31">
        <f t="shared" si="4"/>
        <v>46923.061999999998</v>
      </c>
      <c r="P25" s="14"/>
      <c r="U25" s="2"/>
      <c r="W25" s="2"/>
      <c r="X25" s="2"/>
      <c r="Y25" s="2"/>
      <c r="Z25" s="14"/>
      <c r="AA25" s="14"/>
      <c r="AB25" s="14"/>
      <c r="AC25" s="14"/>
      <c r="AD25" s="14"/>
      <c r="AE25" s="14"/>
      <c r="AF25" s="14"/>
      <c r="AG25" s="14"/>
      <c r="AH25" s="14"/>
    </row>
    <row r="26" spans="2:34" ht="25.5" customHeight="1" x14ac:dyDescent="0.25">
      <c r="B26" s="2"/>
      <c r="D26" s="45">
        <v>7</v>
      </c>
      <c r="E26" s="324" t="s">
        <v>21</v>
      </c>
      <c r="F26" s="325"/>
      <c r="G26" s="325"/>
      <c r="H26" s="325"/>
      <c r="I26" s="326"/>
      <c r="J26" s="34">
        <f>+J305</f>
        <v>1633706.9899999998</v>
      </c>
      <c r="K26" s="34">
        <f t="shared" ref="K26:L26" si="5">+K305</f>
        <v>1679513.37</v>
      </c>
      <c r="L26" s="31">
        <f t="shared" si="5"/>
        <v>1076790.1400000001</v>
      </c>
      <c r="P26" s="14"/>
      <c r="U26" s="2"/>
      <c r="W26" s="2"/>
      <c r="X26" s="2"/>
      <c r="Y26" s="2"/>
      <c r="Z26" s="14"/>
      <c r="AA26" s="14"/>
      <c r="AB26" s="14"/>
      <c r="AC26" s="14"/>
      <c r="AD26" s="14"/>
      <c r="AE26" s="14"/>
      <c r="AF26" s="14"/>
      <c r="AG26" s="14"/>
      <c r="AH26" s="14"/>
    </row>
    <row r="27" spans="2:34" ht="25.5" customHeight="1" x14ac:dyDescent="0.25">
      <c r="B27" s="2"/>
      <c r="D27" s="35"/>
      <c r="E27" s="310" t="s">
        <v>22</v>
      </c>
      <c r="F27" s="311"/>
      <c r="G27" s="311"/>
      <c r="H27" s="311"/>
      <c r="I27" s="312"/>
      <c r="J27" s="36">
        <f>+SUM(J20:J26)</f>
        <v>2983700.7156250002</v>
      </c>
      <c r="K27" s="36">
        <f t="shared" ref="K27:L27" si="6">+SUM(K20:K26)</f>
        <v>2825740.6</v>
      </c>
      <c r="L27" s="37">
        <f t="shared" si="6"/>
        <v>626586872.12699997</v>
      </c>
      <c r="P27" s="14"/>
      <c r="U27" s="2"/>
      <c r="W27" s="2"/>
      <c r="X27" s="2"/>
      <c r="Y27" s="2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2:34" ht="25.5" customHeight="1" x14ac:dyDescent="0.25">
      <c r="B28" s="11"/>
      <c r="C28" s="12"/>
      <c r="D28" s="35"/>
      <c r="E28" s="310" t="s">
        <v>23</v>
      </c>
      <c r="F28" s="311"/>
      <c r="G28" s="311"/>
      <c r="H28" s="311"/>
      <c r="I28" s="312"/>
      <c r="J28" s="38">
        <f>+(J27*0.1)</f>
        <v>298370.07156250003</v>
      </c>
      <c r="K28" s="33">
        <f t="shared" ref="K28:L28" si="7">+(K27*0.1)</f>
        <v>282574.06</v>
      </c>
      <c r="L28" s="31">
        <f t="shared" si="7"/>
        <v>62658687.212700002</v>
      </c>
      <c r="N28" s="2">
        <f>J27/3644</f>
        <v>818.79822053375415</v>
      </c>
      <c r="O28" s="2">
        <f t="shared" ref="O28:P28" si="8">K27/3644</f>
        <v>775.45021953896821</v>
      </c>
      <c r="P28" s="2">
        <f t="shared" si="8"/>
        <v>171950.29421706914</v>
      </c>
      <c r="U28" s="2"/>
      <c r="W28" s="2"/>
      <c r="X28" s="2"/>
      <c r="Y28" s="2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2:34" ht="25.5" customHeight="1" thickBot="1" x14ac:dyDescent="0.3">
      <c r="B29" s="11"/>
      <c r="C29" s="12"/>
      <c r="D29" s="35"/>
      <c r="E29" s="313" t="s">
        <v>24</v>
      </c>
      <c r="F29" s="314"/>
      <c r="G29" s="314"/>
      <c r="H29" s="314"/>
      <c r="I29" s="315"/>
      <c r="J29" s="39">
        <f>+(J27+J28)*0.15</f>
        <v>492310.61807812506</v>
      </c>
      <c r="K29" s="39">
        <f t="shared" ref="K29:L29" si="9">+(K27+K28)*0.15</f>
        <v>466247.19900000002</v>
      </c>
      <c r="L29" s="40">
        <f t="shared" si="9"/>
        <v>103386833.90095499</v>
      </c>
      <c r="P29" s="14"/>
      <c r="U29" s="2"/>
      <c r="W29" s="2"/>
      <c r="X29" s="2"/>
      <c r="Y29" s="2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2:34" ht="25.5" customHeight="1" thickTop="1" thickBot="1" x14ac:dyDescent="0.3">
      <c r="B30" s="11"/>
      <c r="C30" s="12"/>
      <c r="D30" s="41"/>
      <c r="E30" s="316" t="s">
        <v>25</v>
      </c>
      <c r="F30" s="317"/>
      <c r="G30" s="317"/>
      <c r="H30" s="317"/>
      <c r="I30" s="318"/>
      <c r="J30" s="293">
        <f>+(J27+J28+J29)</f>
        <v>3774381.4052656256</v>
      </c>
      <c r="K30" s="294">
        <f t="shared" ref="K30:L30" si="10">+(K27+K28+K29)</f>
        <v>3574561.8590000002</v>
      </c>
      <c r="L30" s="295">
        <f t="shared" si="10"/>
        <v>792632393.24065495</v>
      </c>
      <c r="P30" s="14"/>
      <c r="U30" s="2"/>
      <c r="W30" s="2"/>
      <c r="X30" s="2"/>
      <c r="Y30" s="2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2:34" ht="15.75" x14ac:dyDescent="0.25">
      <c r="B31" s="46"/>
      <c r="D31" s="319"/>
      <c r="E31" s="319"/>
      <c r="F31" s="319"/>
      <c r="G31" s="319"/>
      <c r="H31" s="320"/>
      <c r="I31" s="320"/>
      <c r="J31" s="320"/>
      <c r="K31" s="320"/>
      <c r="L31" s="321"/>
      <c r="P31" s="2"/>
      <c r="U31" s="2"/>
      <c r="W31" s="2"/>
      <c r="X31" s="2"/>
      <c r="Y31" s="2"/>
      <c r="Z31" s="2"/>
      <c r="AH31" s="2"/>
    </row>
    <row r="32" spans="2:34" x14ac:dyDescent="0.25">
      <c r="B32" s="322" t="s">
        <v>27</v>
      </c>
      <c r="C32" s="323"/>
      <c r="D32" s="48"/>
      <c r="E32" s="48"/>
      <c r="F32" s="48"/>
      <c r="G32" s="49"/>
      <c r="P32" s="2"/>
      <c r="U32" s="2"/>
      <c r="W32" s="2"/>
      <c r="X32" s="2"/>
      <c r="Y32" s="2"/>
      <c r="Z32" s="2"/>
      <c r="AH32" s="2"/>
    </row>
    <row r="33" spans="2:34" ht="15.75" hidden="1" x14ac:dyDescent="0.25">
      <c r="B33" s="308"/>
      <c r="C33" s="309"/>
      <c r="I33" s="5"/>
      <c r="J33" s="5"/>
      <c r="K33" s="5"/>
      <c r="P33" s="2"/>
      <c r="U33" s="308"/>
      <c r="V33" s="309"/>
      <c r="AC33" s="308"/>
      <c r="AD33" s="309"/>
      <c r="AE33" s="3"/>
      <c r="AF33" s="4"/>
      <c r="AG33" s="5"/>
      <c r="AH33" s="7"/>
    </row>
    <row r="34" spans="2:34" ht="15.75" thickBot="1" x14ac:dyDescent="0.3">
      <c r="B34" s="2"/>
      <c r="H34" s="4"/>
      <c r="I34" s="4"/>
      <c r="J34" s="4"/>
      <c r="K34" s="4"/>
      <c r="L34" s="4"/>
      <c r="M34" s="50"/>
      <c r="N34" s="51"/>
      <c r="P34" s="2"/>
      <c r="U34" s="2"/>
      <c r="Y34" s="4"/>
      <c r="Z34" s="52"/>
      <c r="AE34" s="3"/>
      <c r="AF34" s="4"/>
      <c r="AG34" s="4"/>
      <c r="AH34" s="52"/>
    </row>
    <row r="35" spans="2:34" ht="30.75" thickBot="1" x14ac:dyDescent="0.3">
      <c r="B35" s="53"/>
      <c r="C35" s="54"/>
      <c r="D35" s="55" t="s">
        <v>11</v>
      </c>
      <c r="E35" s="55" t="s">
        <v>213</v>
      </c>
      <c r="F35" s="55" t="s">
        <v>12</v>
      </c>
      <c r="G35" s="54"/>
      <c r="H35" s="54" t="s">
        <v>28</v>
      </c>
      <c r="I35" s="54" t="s">
        <v>29</v>
      </c>
      <c r="J35" s="55" t="s">
        <v>11</v>
      </c>
      <c r="K35" s="55" t="s">
        <v>213</v>
      </c>
      <c r="L35" s="56" t="s">
        <v>12</v>
      </c>
      <c r="M35" s="57"/>
      <c r="N35" s="51"/>
      <c r="P35" s="2"/>
      <c r="U35" s="58"/>
      <c r="V35" s="59"/>
      <c r="W35" s="60"/>
      <c r="X35" s="59"/>
      <c r="Y35" s="59"/>
      <c r="Z35" s="61"/>
      <c r="AC35" s="58"/>
      <c r="AD35" s="59"/>
      <c r="AE35" s="60"/>
      <c r="AF35" s="59"/>
      <c r="AG35" s="59"/>
      <c r="AH35" s="61"/>
    </row>
    <row r="36" spans="2:34" ht="15" x14ac:dyDescent="0.25">
      <c r="B36" s="62" t="s">
        <v>30</v>
      </c>
      <c r="C36" s="63" t="s">
        <v>31</v>
      </c>
      <c r="D36" s="64" t="s">
        <v>32</v>
      </c>
      <c r="E36" s="64" t="s">
        <v>32</v>
      </c>
      <c r="F36" s="64" t="s">
        <v>32</v>
      </c>
      <c r="G36" s="63" t="s">
        <v>33</v>
      </c>
      <c r="H36" s="65" t="s">
        <v>34</v>
      </c>
      <c r="I36" s="65" t="s">
        <v>34</v>
      </c>
      <c r="J36" s="66" t="s">
        <v>14</v>
      </c>
      <c r="K36" s="66" t="s">
        <v>14</v>
      </c>
      <c r="L36" s="67" t="s">
        <v>14</v>
      </c>
      <c r="M36" s="50"/>
      <c r="N36" s="51"/>
      <c r="P36" s="2"/>
      <c r="U36" s="58"/>
      <c r="V36" s="47"/>
      <c r="W36" s="13"/>
      <c r="X36" s="47"/>
      <c r="Y36" s="10"/>
      <c r="Z36" s="61"/>
      <c r="AC36" s="58"/>
      <c r="AD36" s="47"/>
      <c r="AE36" s="13"/>
      <c r="AF36" s="47"/>
      <c r="AG36" s="10"/>
      <c r="AH36" s="61"/>
    </row>
    <row r="37" spans="2:34" ht="15" x14ac:dyDescent="0.25">
      <c r="B37" s="68"/>
      <c r="C37" s="69"/>
      <c r="D37" s="70"/>
      <c r="E37" s="70"/>
      <c r="F37" s="70"/>
      <c r="G37" s="71"/>
      <c r="H37" s="72"/>
      <c r="I37" s="72"/>
      <c r="J37" s="73"/>
      <c r="K37" s="73"/>
      <c r="L37" s="74"/>
      <c r="M37" s="50"/>
      <c r="N37" s="51"/>
      <c r="P37" s="2"/>
      <c r="U37" s="58"/>
      <c r="V37" s="75"/>
      <c r="W37" s="76"/>
      <c r="X37" s="77"/>
      <c r="Z37" s="61"/>
      <c r="AC37" s="58"/>
      <c r="AD37" s="75"/>
      <c r="AE37" s="76"/>
      <c r="AF37" s="77"/>
      <c r="AG37" s="5"/>
      <c r="AH37" s="61"/>
    </row>
    <row r="38" spans="2:34" ht="15" x14ac:dyDescent="0.25">
      <c r="B38" s="78">
        <v>1</v>
      </c>
      <c r="C38" s="79" t="s">
        <v>15</v>
      </c>
      <c r="D38" s="70"/>
      <c r="E38" s="70"/>
      <c r="F38" s="70"/>
      <c r="G38" s="71"/>
      <c r="H38" s="72"/>
      <c r="I38" s="72"/>
      <c r="J38" s="73"/>
      <c r="K38" s="73"/>
      <c r="L38" s="74"/>
      <c r="M38" s="50"/>
      <c r="N38" s="51"/>
      <c r="P38" s="2"/>
      <c r="U38" s="80"/>
      <c r="V38" s="81"/>
      <c r="W38" s="76"/>
      <c r="X38" s="77"/>
      <c r="Z38" s="61"/>
      <c r="AC38" s="80"/>
      <c r="AD38" s="81"/>
      <c r="AE38" s="76"/>
      <c r="AF38" s="77"/>
      <c r="AG38" s="5"/>
      <c r="AH38" s="61"/>
    </row>
    <row r="39" spans="2:34" ht="15" outlineLevel="1" x14ac:dyDescent="0.25">
      <c r="B39" s="78"/>
      <c r="C39" s="82" t="s">
        <v>35</v>
      </c>
      <c r="D39" s="70"/>
      <c r="E39" s="70"/>
      <c r="F39" s="70"/>
      <c r="G39" s="71"/>
      <c r="H39" s="72"/>
      <c r="I39" s="72"/>
      <c r="J39" s="73"/>
      <c r="K39" s="73"/>
      <c r="L39" s="74"/>
      <c r="M39" s="50"/>
      <c r="N39" s="51"/>
      <c r="P39" s="2"/>
      <c r="U39" s="80"/>
      <c r="V39" s="83"/>
      <c r="W39" s="76"/>
      <c r="X39" s="77"/>
      <c r="Z39" s="61"/>
      <c r="AC39" s="80"/>
      <c r="AD39" s="83"/>
      <c r="AE39" s="76"/>
      <c r="AF39" s="77"/>
      <c r="AG39" s="5"/>
      <c r="AH39" s="61"/>
    </row>
    <row r="40" spans="2:34" ht="27" outlineLevel="1" x14ac:dyDescent="0.25">
      <c r="B40" s="84">
        <v>1</v>
      </c>
      <c r="C40" s="85" t="s">
        <v>36</v>
      </c>
      <c r="D40" s="86">
        <v>1</v>
      </c>
      <c r="E40" s="86">
        <v>1</v>
      </c>
      <c r="F40" s="86">
        <v>1</v>
      </c>
      <c r="G40" s="87" t="s">
        <v>37</v>
      </c>
      <c r="H40" s="72">
        <v>22000</v>
      </c>
      <c r="I40" s="72">
        <v>22000</v>
      </c>
      <c r="J40" s="73">
        <f>+(D40*H40)</f>
        <v>22000</v>
      </c>
      <c r="K40" s="73">
        <f t="shared" ref="K40:L43" si="11">+(E40*H40)</f>
        <v>22000</v>
      </c>
      <c r="L40" s="88">
        <f t="shared" si="11"/>
        <v>22000</v>
      </c>
      <c r="M40" s="50"/>
      <c r="N40" s="51"/>
      <c r="P40" s="89"/>
      <c r="U40" s="90"/>
      <c r="V40" s="91"/>
      <c r="W40" s="92"/>
      <c r="X40" s="93"/>
      <c r="Z40" s="52"/>
      <c r="AC40" s="90"/>
      <c r="AD40" s="91"/>
      <c r="AE40" s="92"/>
      <c r="AF40" s="93"/>
      <c r="AG40" s="5"/>
      <c r="AH40" s="52"/>
    </row>
    <row r="41" spans="2:34" ht="15" outlineLevel="1" x14ac:dyDescent="0.25">
      <c r="B41" s="84">
        <v>2</v>
      </c>
      <c r="C41" s="85" t="s">
        <v>38</v>
      </c>
      <c r="D41" s="86">
        <v>1</v>
      </c>
      <c r="E41" s="86">
        <v>1</v>
      </c>
      <c r="F41" s="86">
        <v>1</v>
      </c>
      <c r="G41" s="87" t="s">
        <v>37</v>
      </c>
      <c r="H41" s="72">
        <v>12000</v>
      </c>
      <c r="I41" s="72">
        <v>8500</v>
      </c>
      <c r="J41" s="73">
        <f>+(D41*H41)</f>
        <v>12000</v>
      </c>
      <c r="K41" s="73">
        <f t="shared" si="11"/>
        <v>12000</v>
      </c>
      <c r="L41" s="88">
        <f t="shared" si="11"/>
        <v>8500</v>
      </c>
      <c r="M41" s="50"/>
      <c r="N41" s="51"/>
      <c r="P41" s="89"/>
      <c r="U41" s="90"/>
      <c r="V41" s="91"/>
      <c r="W41" s="92"/>
      <c r="X41" s="93"/>
      <c r="Z41" s="52"/>
      <c r="AC41" s="90"/>
      <c r="AD41" s="91"/>
      <c r="AE41" s="92"/>
      <c r="AF41" s="93"/>
      <c r="AG41" s="5"/>
      <c r="AH41" s="52"/>
    </row>
    <row r="42" spans="2:34" ht="15" outlineLevel="1" x14ac:dyDescent="0.25">
      <c r="B42" s="84">
        <v>3</v>
      </c>
      <c r="C42" s="85" t="s">
        <v>39</v>
      </c>
      <c r="D42" s="86">
        <v>1</v>
      </c>
      <c r="E42" s="86">
        <v>1</v>
      </c>
      <c r="F42" s="86">
        <v>1</v>
      </c>
      <c r="G42" s="87" t="s">
        <v>37</v>
      </c>
      <c r="H42" s="72">
        <v>10000</v>
      </c>
      <c r="I42" s="72">
        <v>5500</v>
      </c>
      <c r="J42" s="73">
        <f>+(D42*H42)</f>
        <v>10000</v>
      </c>
      <c r="K42" s="73">
        <f t="shared" si="11"/>
        <v>10000</v>
      </c>
      <c r="L42" s="88">
        <f t="shared" si="11"/>
        <v>5500</v>
      </c>
      <c r="M42" s="50"/>
      <c r="N42" s="51"/>
      <c r="P42" s="89"/>
      <c r="U42" s="90"/>
      <c r="V42" s="91"/>
      <c r="W42" s="92"/>
      <c r="X42" s="93"/>
      <c r="Z42" s="52"/>
      <c r="AC42" s="90"/>
      <c r="AD42" s="91"/>
      <c r="AE42" s="92"/>
      <c r="AF42" s="93"/>
      <c r="AG42" s="5"/>
      <c r="AH42" s="52"/>
    </row>
    <row r="43" spans="2:34" ht="27" outlineLevel="1" x14ac:dyDescent="0.25">
      <c r="B43" s="84">
        <v>4</v>
      </c>
      <c r="C43" s="85" t="s">
        <v>40</v>
      </c>
      <c r="D43" s="86">
        <v>1</v>
      </c>
      <c r="E43" s="86">
        <v>1</v>
      </c>
      <c r="F43" s="86">
        <v>0</v>
      </c>
      <c r="G43" s="87" t="s">
        <v>37</v>
      </c>
      <c r="H43" s="72">
        <v>20000</v>
      </c>
      <c r="I43" s="72">
        <v>20000</v>
      </c>
      <c r="J43" s="94">
        <f>+(D43*H43)</f>
        <v>20000</v>
      </c>
      <c r="K43" s="94">
        <f t="shared" si="11"/>
        <v>20000</v>
      </c>
      <c r="L43" s="88">
        <f t="shared" si="11"/>
        <v>0</v>
      </c>
      <c r="M43" s="50"/>
      <c r="N43" s="51"/>
      <c r="P43" s="89"/>
      <c r="U43" s="90"/>
      <c r="V43" s="91"/>
      <c r="W43" s="92"/>
      <c r="X43" s="93"/>
      <c r="Z43" s="52"/>
      <c r="AC43" s="90"/>
      <c r="AD43" s="91"/>
      <c r="AE43" s="92"/>
      <c r="AF43" s="93"/>
      <c r="AG43" s="5"/>
      <c r="AH43" s="52"/>
    </row>
    <row r="44" spans="2:34" ht="15" outlineLevel="1" x14ac:dyDescent="0.25">
      <c r="B44" s="84"/>
      <c r="C44" s="85"/>
      <c r="D44" s="86"/>
      <c r="E44" s="86"/>
      <c r="F44" s="86"/>
      <c r="G44" s="87"/>
      <c r="H44" s="72"/>
      <c r="I44" s="72"/>
      <c r="J44" s="73"/>
      <c r="K44" s="73"/>
      <c r="L44" s="88"/>
      <c r="M44" s="50"/>
      <c r="N44" s="51"/>
      <c r="P44" s="89"/>
      <c r="U44" s="90"/>
      <c r="V44" s="91"/>
      <c r="W44" s="92"/>
      <c r="X44" s="93"/>
      <c r="Z44" s="52"/>
      <c r="AC44" s="90"/>
      <c r="AD44" s="91"/>
      <c r="AE44" s="92"/>
      <c r="AF44" s="93"/>
      <c r="AG44" s="5"/>
      <c r="AH44" s="52"/>
    </row>
    <row r="45" spans="2:34" ht="15" outlineLevel="1" x14ac:dyDescent="0.25">
      <c r="B45" s="84"/>
      <c r="C45" s="95" t="s">
        <v>41</v>
      </c>
      <c r="D45" s="86"/>
      <c r="E45" s="86"/>
      <c r="F45" s="86"/>
      <c r="G45" s="87"/>
      <c r="H45" s="72"/>
      <c r="I45" s="72"/>
      <c r="J45" s="73"/>
      <c r="K45" s="73"/>
      <c r="L45" s="88"/>
      <c r="M45" s="50"/>
      <c r="N45" s="51"/>
      <c r="P45" s="89"/>
      <c r="U45" s="90"/>
      <c r="V45" s="91"/>
      <c r="W45" s="92"/>
      <c r="X45" s="93"/>
      <c r="Z45" s="52"/>
      <c r="AC45" s="90"/>
      <c r="AD45" s="91"/>
      <c r="AE45" s="92"/>
      <c r="AF45" s="93"/>
      <c r="AG45" s="5"/>
      <c r="AH45" s="52"/>
    </row>
    <row r="46" spans="2:34" ht="15" outlineLevel="1" x14ac:dyDescent="0.25">
      <c r="B46" s="84"/>
      <c r="C46" s="85"/>
      <c r="D46" s="86"/>
      <c r="E46" s="86"/>
      <c r="F46" s="86"/>
      <c r="G46" s="87"/>
      <c r="H46" s="72"/>
      <c r="I46" s="72"/>
      <c r="J46" s="73"/>
      <c r="K46" s="73"/>
      <c r="L46" s="88"/>
      <c r="M46" s="50"/>
      <c r="N46" s="51"/>
      <c r="P46" s="89"/>
      <c r="U46" s="90"/>
      <c r="V46" s="91"/>
      <c r="W46" s="92"/>
      <c r="X46" s="93"/>
      <c r="Z46" s="52"/>
      <c r="AC46" s="90"/>
      <c r="AD46" s="91"/>
      <c r="AE46" s="92"/>
      <c r="AF46" s="93"/>
      <c r="AG46" s="5"/>
      <c r="AH46" s="52"/>
    </row>
    <row r="47" spans="2:34" ht="15" outlineLevel="1" x14ac:dyDescent="0.25">
      <c r="B47" s="84"/>
      <c r="C47" s="82" t="s">
        <v>42</v>
      </c>
      <c r="D47" s="86"/>
      <c r="E47" s="86"/>
      <c r="F47" s="86"/>
      <c r="G47" s="87"/>
      <c r="H47" s="72"/>
      <c r="I47" s="72"/>
      <c r="J47" s="73"/>
      <c r="K47" s="73"/>
      <c r="L47" s="88"/>
      <c r="M47" s="50"/>
      <c r="N47" s="51"/>
      <c r="P47" s="89"/>
      <c r="U47" s="90"/>
      <c r="V47" s="83"/>
      <c r="W47" s="92"/>
      <c r="X47" s="93"/>
      <c r="Z47" s="52"/>
      <c r="AC47" s="90"/>
      <c r="AD47" s="83"/>
      <c r="AE47" s="92"/>
      <c r="AF47" s="93"/>
      <c r="AG47" s="5"/>
      <c r="AH47" s="52"/>
    </row>
    <row r="48" spans="2:34" ht="27" outlineLevel="1" x14ac:dyDescent="0.25">
      <c r="B48" s="84">
        <v>5</v>
      </c>
      <c r="C48" s="85" t="s">
        <v>43</v>
      </c>
      <c r="D48" s="86">
        <v>1</v>
      </c>
      <c r="E48" s="86">
        <v>1</v>
      </c>
      <c r="F48" s="86">
        <v>1</v>
      </c>
      <c r="G48" s="87" t="s">
        <v>37</v>
      </c>
      <c r="H48" s="72">
        <v>8500</v>
      </c>
      <c r="I48" s="72">
        <v>5800</v>
      </c>
      <c r="J48" s="73">
        <f>+(D48*H48)</f>
        <v>8500</v>
      </c>
      <c r="K48" s="73">
        <f>+(E48*H48)</f>
        <v>8500</v>
      </c>
      <c r="L48" s="88">
        <f>+(F48*I48)</f>
        <v>5800</v>
      </c>
      <c r="M48" s="50"/>
      <c r="N48" s="51"/>
      <c r="P48" s="89"/>
      <c r="U48" s="90"/>
      <c r="V48" s="91"/>
      <c r="W48" s="92"/>
      <c r="X48" s="93"/>
      <c r="Z48" s="52"/>
      <c r="AC48" s="90"/>
      <c r="AD48" s="91"/>
      <c r="AE48" s="92"/>
      <c r="AF48" s="93"/>
      <c r="AG48" s="5"/>
      <c r="AH48" s="52"/>
    </row>
    <row r="49" spans="2:34" ht="27" outlineLevel="1" x14ac:dyDescent="0.25">
      <c r="B49" s="84">
        <v>6</v>
      </c>
      <c r="C49" s="85" t="s">
        <v>44</v>
      </c>
      <c r="D49" s="86">
        <v>1</v>
      </c>
      <c r="E49" s="86">
        <v>1</v>
      </c>
      <c r="F49" s="86">
        <v>1</v>
      </c>
      <c r="G49" s="87" t="s">
        <v>37</v>
      </c>
      <c r="H49" s="72">
        <v>4500</v>
      </c>
      <c r="I49" s="72">
        <v>4500</v>
      </c>
      <c r="J49" s="73">
        <f>+(D49*H49)</f>
        <v>4500</v>
      </c>
      <c r="K49" s="73">
        <f>+(E49*H49)</f>
        <v>4500</v>
      </c>
      <c r="L49" s="88">
        <f>+(F49*I49)</f>
        <v>4500</v>
      </c>
      <c r="M49" s="50"/>
      <c r="N49" s="51"/>
      <c r="P49" s="89"/>
      <c r="U49" s="90"/>
      <c r="V49" s="91"/>
      <c r="W49" s="92"/>
      <c r="X49" s="93"/>
      <c r="Z49" s="52"/>
      <c r="AC49" s="90"/>
      <c r="AD49" s="91"/>
      <c r="AE49" s="92"/>
      <c r="AF49" s="93"/>
      <c r="AG49" s="5"/>
      <c r="AH49" s="52"/>
    </row>
    <row r="50" spans="2:34" ht="15" outlineLevel="1" x14ac:dyDescent="0.25">
      <c r="B50" s="84"/>
      <c r="C50" s="96"/>
      <c r="D50" s="97"/>
      <c r="E50" s="97"/>
      <c r="F50" s="97"/>
      <c r="G50" s="98"/>
      <c r="H50" s="72"/>
      <c r="I50" s="72"/>
      <c r="J50" s="73"/>
      <c r="K50" s="73"/>
      <c r="L50" s="88">
        <f>D50*H50</f>
        <v>0</v>
      </c>
      <c r="M50" s="50"/>
      <c r="N50" s="51"/>
      <c r="P50" s="89"/>
      <c r="U50" s="90"/>
      <c r="V50" s="99"/>
      <c r="W50" s="100"/>
      <c r="X50" s="101"/>
      <c r="Z50" s="52"/>
      <c r="AC50" s="90"/>
      <c r="AD50" s="99"/>
      <c r="AE50" s="100"/>
      <c r="AF50" s="101"/>
      <c r="AG50" s="5"/>
      <c r="AH50" s="52"/>
    </row>
    <row r="51" spans="2:34" ht="15" outlineLevel="1" x14ac:dyDescent="0.25">
      <c r="B51" s="84"/>
      <c r="C51" s="82" t="s">
        <v>45</v>
      </c>
      <c r="D51" s="97"/>
      <c r="E51" s="97"/>
      <c r="F51" s="97"/>
      <c r="G51" s="98"/>
      <c r="H51" s="72"/>
      <c r="I51" s="72"/>
      <c r="J51" s="73"/>
      <c r="K51" s="73"/>
      <c r="L51" s="88">
        <f>D51*H51</f>
        <v>0</v>
      </c>
      <c r="M51" s="50"/>
      <c r="N51" s="51"/>
      <c r="P51" s="89"/>
      <c r="U51" s="90"/>
      <c r="V51" s="83"/>
      <c r="W51" s="100"/>
      <c r="X51" s="101"/>
      <c r="Z51" s="52"/>
      <c r="AC51" s="90"/>
      <c r="AD51" s="83"/>
      <c r="AE51" s="100"/>
      <c r="AF51" s="101"/>
      <c r="AG51" s="5"/>
      <c r="AH51" s="52"/>
    </row>
    <row r="52" spans="2:34" ht="27" outlineLevel="2" x14ac:dyDescent="0.25">
      <c r="B52" s="102">
        <v>7</v>
      </c>
      <c r="C52" s="103" t="s">
        <v>46</v>
      </c>
      <c r="D52" s="86"/>
      <c r="E52" s="86"/>
      <c r="F52" s="86"/>
      <c r="G52" s="98"/>
      <c r="H52" s="72"/>
      <c r="I52" s="72"/>
      <c r="J52" s="73"/>
      <c r="K52" s="73"/>
      <c r="L52" s="88">
        <f>D52*H52</f>
        <v>0</v>
      </c>
      <c r="M52" s="50"/>
      <c r="N52" s="51"/>
      <c r="P52" s="89"/>
      <c r="U52" s="104"/>
      <c r="V52" s="105"/>
      <c r="W52" s="92"/>
      <c r="X52" s="101"/>
      <c r="Z52" s="52"/>
      <c r="AC52" s="104"/>
      <c r="AD52" s="105"/>
      <c r="AE52" s="92"/>
      <c r="AF52" s="101"/>
      <c r="AG52" s="5"/>
      <c r="AH52" s="52"/>
    </row>
    <row r="53" spans="2:34" ht="15" outlineLevel="2" x14ac:dyDescent="0.25">
      <c r="B53" s="102">
        <v>8</v>
      </c>
      <c r="C53" s="103" t="s">
        <v>47</v>
      </c>
      <c r="D53" s="97"/>
      <c r="E53" s="97"/>
      <c r="F53" s="97"/>
      <c r="G53" s="98" t="s">
        <v>48</v>
      </c>
      <c r="H53" s="72">
        <v>101</v>
      </c>
      <c r="I53" s="72">
        <v>101</v>
      </c>
      <c r="J53" s="73"/>
      <c r="K53" s="73"/>
      <c r="L53" s="88">
        <f t="shared" ref="L53:L58" si="12">H53*D53</f>
        <v>0</v>
      </c>
      <c r="M53" s="50"/>
      <c r="N53" s="51"/>
      <c r="P53" s="89"/>
      <c r="U53" s="104"/>
      <c r="V53" s="105"/>
      <c r="W53" s="100"/>
      <c r="X53" s="101"/>
      <c r="Z53" s="52"/>
      <c r="AC53" s="104"/>
      <c r="AD53" s="105"/>
      <c r="AE53" s="100"/>
      <c r="AF53" s="101"/>
      <c r="AG53" s="5"/>
      <c r="AH53" s="52"/>
    </row>
    <row r="54" spans="2:34" ht="15" outlineLevel="2" x14ac:dyDescent="0.25">
      <c r="B54" s="102">
        <v>9</v>
      </c>
      <c r="C54" s="103" t="s">
        <v>49</v>
      </c>
      <c r="D54" s="97"/>
      <c r="E54" s="97"/>
      <c r="F54" s="97"/>
      <c r="G54" s="98" t="s">
        <v>50</v>
      </c>
      <c r="H54" s="72">
        <v>910</v>
      </c>
      <c r="I54" s="72">
        <v>910</v>
      </c>
      <c r="J54" s="73"/>
      <c r="K54" s="73"/>
      <c r="L54" s="88">
        <f t="shared" si="12"/>
        <v>0</v>
      </c>
      <c r="M54" s="50"/>
      <c r="N54" s="51"/>
      <c r="P54" s="89"/>
      <c r="U54" s="104"/>
      <c r="V54" s="105"/>
      <c r="W54" s="100"/>
      <c r="X54" s="101"/>
      <c r="Z54" s="52"/>
      <c r="AC54" s="104"/>
      <c r="AD54" s="105"/>
      <c r="AE54" s="100"/>
      <c r="AF54" s="101"/>
      <c r="AG54" s="5"/>
      <c r="AH54" s="52"/>
    </row>
    <row r="55" spans="2:34" ht="15" outlineLevel="2" x14ac:dyDescent="0.25">
      <c r="B55" s="102">
        <v>10</v>
      </c>
      <c r="C55" s="103" t="s">
        <v>51</v>
      </c>
      <c r="D55" s="97"/>
      <c r="E55" s="97"/>
      <c r="F55" s="97"/>
      <c r="G55" s="98" t="s">
        <v>48</v>
      </c>
      <c r="H55" s="72">
        <v>44.44</v>
      </c>
      <c r="I55" s="72">
        <v>44.44</v>
      </c>
      <c r="J55" s="73"/>
      <c r="K55" s="73"/>
      <c r="L55" s="88">
        <f t="shared" si="12"/>
        <v>0</v>
      </c>
      <c r="M55" s="50"/>
      <c r="N55" s="51"/>
      <c r="P55" s="89"/>
      <c r="U55" s="104"/>
      <c r="V55" s="105"/>
      <c r="W55" s="100"/>
      <c r="X55" s="101"/>
      <c r="Z55" s="52"/>
      <c r="AC55" s="104"/>
      <c r="AD55" s="105"/>
      <c r="AE55" s="100"/>
      <c r="AF55" s="101"/>
      <c r="AG55" s="5"/>
      <c r="AH55" s="52"/>
    </row>
    <row r="56" spans="2:34" ht="15" outlineLevel="2" x14ac:dyDescent="0.25">
      <c r="B56" s="102">
        <v>11</v>
      </c>
      <c r="C56" s="103" t="s">
        <v>52</v>
      </c>
      <c r="D56" s="97"/>
      <c r="E56" s="97"/>
      <c r="F56" s="97"/>
      <c r="G56" s="98" t="s">
        <v>50</v>
      </c>
      <c r="H56" s="72">
        <v>400</v>
      </c>
      <c r="I56" s="72">
        <v>400</v>
      </c>
      <c r="J56" s="73"/>
      <c r="K56" s="73"/>
      <c r="L56" s="88">
        <f t="shared" si="12"/>
        <v>0</v>
      </c>
      <c r="M56" s="50"/>
      <c r="N56" s="51"/>
      <c r="P56" s="89"/>
      <c r="U56" s="104"/>
      <c r="V56" s="105"/>
      <c r="W56" s="100"/>
      <c r="X56" s="101"/>
      <c r="Z56" s="52"/>
      <c r="AC56" s="104"/>
      <c r="AD56" s="105"/>
      <c r="AE56" s="100"/>
      <c r="AF56" s="101"/>
      <c r="AG56" s="5"/>
      <c r="AH56" s="52"/>
    </row>
    <row r="57" spans="2:34" ht="15" outlineLevel="2" x14ac:dyDescent="0.25">
      <c r="B57" s="102">
        <v>12</v>
      </c>
      <c r="C57" s="103" t="s">
        <v>53</v>
      </c>
      <c r="D57" s="97"/>
      <c r="E57" s="97"/>
      <c r="F57" s="97"/>
      <c r="G57" s="98" t="s">
        <v>48</v>
      </c>
      <c r="H57" s="72">
        <v>31.11</v>
      </c>
      <c r="I57" s="72">
        <v>31.11</v>
      </c>
      <c r="J57" s="73"/>
      <c r="K57" s="73"/>
      <c r="L57" s="88">
        <f t="shared" si="12"/>
        <v>0</v>
      </c>
      <c r="M57" s="50"/>
      <c r="N57" s="51"/>
      <c r="P57" s="89"/>
      <c r="U57" s="104"/>
      <c r="V57" s="105"/>
      <c r="W57" s="100"/>
      <c r="X57" s="101"/>
      <c r="Z57" s="52"/>
      <c r="AC57" s="104"/>
      <c r="AD57" s="105"/>
      <c r="AE57" s="100"/>
      <c r="AF57" s="101"/>
      <c r="AG57" s="5"/>
      <c r="AH57" s="52"/>
    </row>
    <row r="58" spans="2:34" ht="15" outlineLevel="2" x14ac:dyDescent="0.25">
      <c r="B58" s="102">
        <v>13</v>
      </c>
      <c r="C58" s="103" t="s">
        <v>54</v>
      </c>
      <c r="D58" s="97"/>
      <c r="E58" s="97"/>
      <c r="F58" s="97"/>
      <c r="G58" s="98" t="s">
        <v>50</v>
      </c>
      <c r="H58" s="72">
        <v>280</v>
      </c>
      <c r="I58" s="72">
        <v>280</v>
      </c>
      <c r="J58" s="73"/>
      <c r="K58" s="73"/>
      <c r="L58" s="88">
        <f t="shared" si="12"/>
        <v>0</v>
      </c>
      <c r="M58" s="50"/>
      <c r="N58" s="51"/>
      <c r="P58" s="89"/>
      <c r="U58" s="104"/>
      <c r="V58" s="105"/>
      <c r="W58" s="100"/>
      <c r="X58" s="101"/>
      <c r="Z58" s="52"/>
      <c r="AC58" s="104"/>
      <c r="AD58" s="105"/>
      <c r="AE58" s="100"/>
      <c r="AF58" s="101"/>
      <c r="AG58" s="5"/>
      <c r="AH58" s="52"/>
    </row>
    <row r="59" spans="2:34" ht="15" outlineLevel="2" x14ac:dyDescent="0.25">
      <c r="B59" s="102"/>
      <c r="C59" s="103"/>
      <c r="D59" s="97"/>
      <c r="E59" s="97"/>
      <c r="F59" s="97"/>
      <c r="G59" s="98"/>
      <c r="H59" s="72"/>
      <c r="I59" s="72"/>
      <c r="J59" s="73"/>
      <c r="K59" s="73"/>
      <c r="L59" s="88">
        <f>D59*H59</f>
        <v>0</v>
      </c>
      <c r="M59" s="50"/>
      <c r="N59" s="51"/>
      <c r="P59" s="89"/>
      <c r="U59" s="104"/>
      <c r="V59" s="105"/>
      <c r="W59" s="100"/>
      <c r="X59" s="101"/>
      <c r="Z59" s="52"/>
      <c r="AC59" s="104"/>
      <c r="AD59" s="105"/>
      <c r="AE59" s="100"/>
      <c r="AF59" s="101"/>
      <c r="AG59" s="5"/>
      <c r="AH59" s="52"/>
    </row>
    <row r="60" spans="2:34" ht="15" outlineLevel="2" x14ac:dyDescent="0.25">
      <c r="B60" s="102">
        <v>14</v>
      </c>
      <c r="C60" s="103" t="s">
        <v>55</v>
      </c>
      <c r="D60" s="97"/>
      <c r="E60" s="97"/>
      <c r="F60" s="97"/>
      <c r="G60" s="98"/>
      <c r="H60" s="72"/>
      <c r="I60" s="72"/>
      <c r="J60" s="73"/>
      <c r="K60" s="73"/>
      <c r="L60" s="88">
        <f>D60*H60</f>
        <v>0</v>
      </c>
      <c r="M60" s="50"/>
      <c r="N60" s="51"/>
      <c r="P60" s="89"/>
      <c r="U60" s="104"/>
      <c r="V60" s="105"/>
      <c r="W60" s="100"/>
      <c r="X60" s="101"/>
      <c r="Z60" s="52"/>
      <c r="AC60" s="104"/>
      <c r="AD60" s="105"/>
      <c r="AE60" s="100"/>
      <c r="AF60" s="101"/>
      <c r="AG60" s="5"/>
      <c r="AH60" s="52"/>
    </row>
    <row r="61" spans="2:34" ht="15" outlineLevel="2" x14ac:dyDescent="0.25">
      <c r="B61" s="102">
        <v>15</v>
      </c>
      <c r="C61" s="103" t="s">
        <v>56</v>
      </c>
      <c r="D61" s="97"/>
      <c r="E61" s="97"/>
      <c r="F61" s="97"/>
      <c r="G61" s="98" t="s">
        <v>57</v>
      </c>
      <c r="H61" s="106">
        <v>20</v>
      </c>
      <c r="I61" s="106">
        <v>20</v>
      </c>
      <c r="J61" s="107"/>
      <c r="K61" s="107"/>
      <c r="L61" s="88">
        <f>H61*D61</f>
        <v>0</v>
      </c>
      <c r="M61" s="50"/>
      <c r="N61" s="51"/>
      <c r="P61" s="89"/>
      <c r="U61" s="104"/>
      <c r="V61" s="105"/>
      <c r="W61" s="100"/>
      <c r="X61" s="101"/>
      <c r="Y61" s="108"/>
      <c r="Z61" s="52"/>
      <c r="AC61" s="104"/>
      <c r="AD61" s="105"/>
      <c r="AE61" s="100"/>
      <c r="AF61" s="101"/>
      <c r="AG61" s="108"/>
      <c r="AH61" s="52"/>
    </row>
    <row r="62" spans="2:34" ht="15" outlineLevel="2" x14ac:dyDescent="0.25">
      <c r="B62" s="102">
        <v>16</v>
      </c>
      <c r="C62" s="103" t="s">
        <v>58</v>
      </c>
      <c r="D62" s="97"/>
      <c r="E62" s="97"/>
      <c r="F62" s="97"/>
      <c r="G62" s="98" t="s">
        <v>57</v>
      </c>
      <c r="H62" s="106">
        <v>20</v>
      </c>
      <c r="I62" s="106">
        <v>20</v>
      </c>
      <c r="J62" s="107"/>
      <c r="K62" s="107"/>
      <c r="L62" s="88">
        <f>H62*D62</f>
        <v>0</v>
      </c>
      <c r="M62" s="50"/>
      <c r="N62" s="51"/>
      <c r="P62" s="89"/>
      <c r="U62" s="104"/>
      <c r="V62" s="105"/>
      <c r="W62" s="100"/>
      <c r="X62" s="101"/>
      <c r="Y62" s="108"/>
      <c r="Z62" s="52"/>
      <c r="AC62" s="104"/>
      <c r="AD62" s="105"/>
      <c r="AE62" s="100"/>
      <c r="AF62" s="101"/>
      <c r="AG62" s="108"/>
      <c r="AH62" s="52"/>
    </row>
    <row r="63" spans="2:34" ht="15" outlineLevel="2" x14ac:dyDescent="0.25">
      <c r="B63" s="102">
        <v>17</v>
      </c>
      <c r="C63" s="103" t="s">
        <v>59</v>
      </c>
      <c r="D63" s="97"/>
      <c r="E63" s="97"/>
      <c r="F63" s="97"/>
      <c r="G63" s="98" t="s">
        <v>57</v>
      </c>
      <c r="H63" s="106">
        <v>20</v>
      </c>
      <c r="I63" s="106">
        <v>20</v>
      </c>
      <c r="J63" s="107"/>
      <c r="K63" s="107"/>
      <c r="L63" s="88">
        <f>H63*D63</f>
        <v>0</v>
      </c>
      <c r="M63" s="50"/>
      <c r="N63" s="51"/>
      <c r="P63" s="89"/>
      <c r="U63" s="104"/>
      <c r="V63" s="105"/>
      <c r="W63" s="100"/>
      <c r="X63" s="101"/>
      <c r="Y63" s="108"/>
      <c r="Z63" s="52"/>
      <c r="AC63" s="104"/>
      <c r="AD63" s="105"/>
      <c r="AE63" s="100"/>
      <c r="AF63" s="101"/>
      <c r="AG63" s="108"/>
      <c r="AH63" s="52"/>
    </row>
    <row r="64" spans="2:34" ht="15" outlineLevel="2" x14ac:dyDescent="0.25">
      <c r="B64" s="102"/>
      <c r="C64" s="103"/>
      <c r="D64" s="97"/>
      <c r="E64" s="97"/>
      <c r="F64" s="97"/>
      <c r="G64" s="98"/>
      <c r="H64" s="72"/>
      <c r="I64" s="72"/>
      <c r="J64" s="73"/>
      <c r="K64" s="73"/>
      <c r="L64" s="88">
        <f>D64*H64</f>
        <v>0</v>
      </c>
      <c r="M64" s="50"/>
      <c r="N64" s="51"/>
      <c r="P64" s="89"/>
      <c r="U64" s="104"/>
      <c r="V64" s="105"/>
      <c r="W64" s="100"/>
      <c r="X64" s="101"/>
      <c r="Z64" s="52"/>
      <c r="AC64" s="104"/>
      <c r="AD64" s="105"/>
      <c r="AE64" s="100"/>
      <c r="AF64" s="101"/>
      <c r="AG64" s="5"/>
      <c r="AH64" s="52"/>
    </row>
    <row r="65" spans="2:34" ht="15" outlineLevel="2" x14ac:dyDescent="0.25">
      <c r="B65" s="102">
        <v>18</v>
      </c>
      <c r="C65" s="103" t="s">
        <v>60</v>
      </c>
      <c r="D65" s="97"/>
      <c r="E65" s="97"/>
      <c r="F65" s="97"/>
      <c r="G65" s="98"/>
      <c r="H65" s="72"/>
      <c r="I65" s="72"/>
      <c r="J65" s="73"/>
      <c r="K65" s="73"/>
      <c r="L65" s="88">
        <f>D65*H65</f>
        <v>0</v>
      </c>
      <c r="M65" s="50"/>
      <c r="N65" s="51"/>
      <c r="P65" s="89"/>
      <c r="U65" s="104"/>
      <c r="V65" s="105"/>
      <c r="W65" s="100"/>
      <c r="X65" s="101"/>
      <c r="Z65" s="52"/>
      <c r="AC65" s="104"/>
      <c r="AD65" s="105"/>
      <c r="AE65" s="100"/>
      <c r="AF65" s="101"/>
      <c r="AG65" s="5"/>
      <c r="AH65" s="52"/>
    </row>
    <row r="66" spans="2:34" ht="15" outlineLevel="2" x14ac:dyDescent="0.25">
      <c r="B66" s="102">
        <v>19</v>
      </c>
      <c r="C66" s="103" t="s">
        <v>61</v>
      </c>
      <c r="D66" s="97"/>
      <c r="E66" s="97"/>
      <c r="F66" s="97"/>
      <c r="G66" s="98" t="s">
        <v>57</v>
      </c>
      <c r="H66" s="72">
        <v>20</v>
      </c>
      <c r="I66" s="72">
        <v>20</v>
      </c>
      <c r="J66" s="73"/>
      <c r="K66" s="73"/>
      <c r="L66" s="88">
        <f>H66*D66</f>
        <v>0</v>
      </c>
      <c r="M66" s="50"/>
      <c r="N66" s="51"/>
      <c r="P66" s="89"/>
      <c r="U66" s="104"/>
      <c r="V66" s="105"/>
      <c r="W66" s="100"/>
      <c r="X66" s="101"/>
      <c r="Z66" s="52"/>
      <c r="AC66" s="104"/>
      <c r="AD66" s="105"/>
      <c r="AE66" s="100"/>
      <c r="AF66" s="101"/>
      <c r="AG66" s="5"/>
      <c r="AH66" s="52"/>
    </row>
    <row r="67" spans="2:34" ht="15" outlineLevel="2" x14ac:dyDescent="0.25">
      <c r="B67" s="102"/>
      <c r="C67" s="103"/>
      <c r="D67" s="97"/>
      <c r="E67" s="97"/>
      <c r="F67" s="97"/>
      <c r="G67" s="98"/>
      <c r="H67" s="72"/>
      <c r="I67" s="72"/>
      <c r="J67" s="73"/>
      <c r="K67" s="73"/>
      <c r="L67" s="88">
        <f>H67*D67</f>
        <v>0</v>
      </c>
      <c r="M67" s="50"/>
      <c r="N67" s="51"/>
      <c r="P67" s="89"/>
      <c r="U67" s="104"/>
      <c r="V67" s="105"/>
      <c r="W67" s="100"/>
      <c r="X67" s="101"/>
      <c r="Z67" s="52"/>
      <c r="AC67" s="104"/>
      <c r="AD67" s="105"/>
      <c r="AE67" s="100"/>
      <c r="AF67" s="101"/>
      <c r="AG67" s="5"/>
      <c r="AH67" s="52"/>
    </row>
    <row r="68" spans="2:34" ht="15" outlineLevel="2" x14ac:dyDescent="0.25">
      <c r="B68" s="102">
        <v>20</v>
      </c>
      <c r="C68" s="103" t="s">
        <v>62</v>
      </c>
      <c r="D68" s="97"/>
      <c r="E68" s="97"/>
      <c r="F68" s="97"/>
      <c r="G68" s="98" t="s">
        <v>63</v>
      </c>
      <c r="H68" s="72">
        <v>455</v>
      </c>
      <c r="I68" s="72">
        <v>455</v>
      </c>
      <c r="J68" s="73"/>
      <c r="K68" s="73"/>
      <c r="L68" s="88">
        <f>H68*D68</f>
        <v>0</v>
      </c>
      <c r="M68" s="50"/>
      <c r="N68" s="51"/>
      <c r="P68" s="89"/>
      <c r="U68" s="104"/>
      <c r="V68" s="105"/>
      <c r="W68" s="100"/>
      <c r="X68" s="101"/>
      <c r="Z68" s="52"/>
      <c r="AC68" s="104"/>
      <c r="AD68" s="105"/>
      <c r="AE68" s="100"/>
      <c r="AF68" s="101"/>
      <c r="AG68" s="5"/>
      <c r="AH68" s="52"/>
    </row>
    <row r="69" spans="2:34" ht="27" outlineLevel="2" x14ac:dyDescent="0.25">
      <c r="B69" s="102">
        <v>21</v>
      </c>
      <c r="C69" s="103" t="s">
        <v>64</v>
      </c>
      <c r="D69" s="97"/>
      <c r="E69" s="97"/>
      <c r="F69" s="97"/>
      <c r="G69" s="98" t="s">
        <v>63</v>
      </c>
      <c r="H69" s="72">
        <v>455</v>
      </c>
      <c r="I69" s="72">
        <v>455</v>
      </c>
      <c r="J69" s="73"/>
      <c r="K69" s="73"/>
      <c r="L69" s="88">
        <f>H69*D69</f>
        <v>0</v>
      </c>
      <c r="M69" s="50"/>
      <c r="N69" s="51"/>
      <c r="P69" s="89"/>
      <c r="U69" s="104"/>
      <c r="V69" s="105"/>
      <c r="W69" s="100"/>
      <c r="X69" s="101"/>
      <c r="Z69" s="52"/>
      <c r="AC69" s="104"/>
      <c r="AD69" s="105"/>
      <c r="AE69" s="100"/>
      <c r="AF69" s="101"/>
      <c r="AG69" s="5"/>
      <c r="AH69" s="52"/>
    </row>
    <row r="70" spans="2:34" ht="15.75" outlineLevel="1" thickBot="1" x14ac:dyDescent="0.3">
      <c r="B70" s="109"/>
      <c r="C70" s="110"/>
      <c r="D70" s="97"/>
      <c r="E70" s="97"/>
      <c r="F70" s="97"/>
      <c r="G70" s="98"/>
      <c r="H70" s="72"/>
      <c r="I70" s="72"/>
      <c r="J70" s="73"/>
      <c r="K70" s="73"/>
      <c r="L70" s="111"/>
      <c r="M70" s="50"/>
      <c r="N70" s="51"/>
      <c r="P70" s="89"/>
      <c r="W70" s="100"/>
      <c r="X70" s="101"/>
      <c r="Z70" s="112"/>
      <c r="AC70" s="1"/>
      <c r="AE70" s="100"/>
      <c r="AF70" s="101"/>
      <c r="AG70" s="5"/>
      <c r="AH70" s="112"/>
    </row>
    <row r="71" spans="2:34" ht="15.75" thickBot="1" x14ac:dyDescent="0.3">
      <c r="B71" s="109"/>
      <c r="C71" s="110"/>
      <c r="D71" s="113"/>
      <c r="E71" s="114"/>
      <c r="F71" s="114"/>
      <c r="G71" s="307" t="s">
        <v>65</v>
      </c>
      <c r="H71" s="302"/>
      <c r="I71" s="115"/>
      <c r="J71" s="116">
        <f>+SUM(J40:J69)</f>
        <v>77000</v>
      </c>
      <c r="K71" s="116">
        <f>+SUM(K40:K69)</f>
        <v>77000</v>
      </c>
      <c r="L71" s="117">
        <f>SUM(L40:L50)</f>
        <v>46300</v>
      </c>
      <c r="M71" s="50"/>
      <c r="N71" s="51"/>
      <c r="P71" s="89"/>
      <c r="X71" s="296"/>
      <c r="Y71" s="296"/>
      <c r="Z71" s="119"/>
      <c r="AA71" s="119"/>
      <c r="AB71" s="119"/>
      <c r="AC71" s="1"/>
      <c r="AE71" s="3"/>
      <c r="AF71" s="296"/>
      <c r="AG71" s="296"/>
      <c r="AH71" s="119"/>
    </row>
    <row r="72" spans="2:34" ht="15.75" thickBot="1" x14ac:dyDescent="0.3">
      <c r="B72" s="120"/>
      <c r="C72" s="121"/>
      <c r="D72" s="122"/>
      <c r="E72" s="123"/>
      <c r="F72" s="123"/>
      <c r="G72" s="303" t="s">
        <v>66</v>
      </c>
      <c r="H72" s="304"/>
      <c r="I72" s="124"/>
      <c r="J72" s="124"/>
      <c r="K72" s="124"/>
      <c r="L72" s="125">
        <f>L71</f>
        <v>46300</v>
      </c>
      <c r="M72" s="50"/>
      <c r="N72" s="51"/>
      <c r="P72" s="89"/>
      <c r="X72" s="296"/>
      <c r="Y72" s="296"/>
      <c r="Z72" s="119"/>
      <c r="AA72" s="119"/>
      <c r="AB72" s="119"/>
      <c r="AC72" s="1"/>
      <c r="AE72" s="3"/>
      <c r="AF72" s="296"/>
      <c r="AG72" s="296"/>
      <c r="AH72" s="119"/>
    </row>
    <row r="73" spans="2:34" ht="15.75" thickBot="1" x14ac:dyDescent="0.3">
      <c r="B73" s="109"/>
      <c r="C73" s="126"/>
      <c r="D73" s="113"/>
      <c r="E73" s="113"/>
      <c r="F73" s="113"/>
      <c r="G73" s="127"/>
      <c r="H73" s="113"/>
      <c r="I73" s="113"/>
      <c r="J73" s="128"/>
      <c r="K73" s="128"/>
      <c r="L73" s="88"/>
      <c r="M73" s="50"/>
      <c r="N73" s="51"/>
      <c r="P73" s="89"/>
      <c r="V73" s="118"/>
      <c r="Y73" s="3"/>
      <c r="Z73" s="52"/>
      <c r="AC73" s="1"/>
      <c r="AD73" s="118"/>
      <c r="AE73" s="3"/>
      <c r="AF73" s="4"/>
      <c r="AG73" s="3"/>
      <c r="AH73" s="52"/>
    </row>
    <row r="74" spans="2:34" ht="30.75" thickBot="1" x14ac:dyDescent="0.3">
      <c r="B74" s="129"/>
      <c r="C74" s="110"/>
      <c r="D74" s="55" t="s">
        <v>11</v>
      </c>
      <c r="E74" s="55" t="s">
        <v>213</v>
      </c>
      <c r="F74" s="55" t="s">
        <v>12</v>
      </c>
      <c r="G74" s="54"/>
      <c r="H74" s="54" t="s">
        <v>28</v>
      </c>
      <c r="I74" s="54" t="s">
        <v>29</v>
      </c>
      <c r="J74" s="55" t="s">
        <v>11</v>
      </c>
      <c r="K74" s="55" t="s">
        <v>213</v>
      </c>
      <c r="L74" s="56" t="s">
        <v>12</v>
      </c>
      <c r="M74" s="50"/>
      <c r="N74" s="51"/>
      <c r="P74" s="89"/>
      <c r="U74" s="2"/>
      <c r="Y74" s="3"/>
      <c r="Z74" s="52"/>
      <c r="AE74" s="3"/>
      <c r="AF74" s="4"/>
      <c r="AG74" s="3"/>
      <c r="AH74" s="52"/>
    </row>
    <row r="75" spans="2:34" ht="15" x14ac:dyDescent="0.25">
      <c r="B75" s="130" t="s">
        <v>30</v>
      </c>
      <c r="C75" s="131" t="s">
        <v>31</v>
      </c>
      <c r="D75" s="64" t="s">
        <v>32</v>
      </c>
      <c r="E75" s="64" t="s">
        <v>32</v>
      </c>
      <c r="F75" s="64" t="s">
        <v>32</v>
      </c>
      <c r="G75" s="63" t="s">
        <v>33</v>
      </c>
      <c r="H75" s="65" t="s">
        <v>34</v>
      </c>
      <c r="I75" s="65" t="s">
        <v>34</v>
      </c>
      <c r="J75" s="66" t="s">
        <v>14</v>
      </c>
      <c r="K75" s="66" t="s">
        <v>14</v>
      </c>
      <c r="L75" s="67" t="s">
        <v>14</v>
      </c>
      <c r="M75" s="50"/>
      <c r="N75" s="51"/>
      <c r="P75" s="89"/>
      <c r="U75" s="58"/>
      <c r="V75" s="47"/>
      <c r="W75" s="13"/>
      <c r="X75" s="47"/>
      <c r="Y75" s="10"/>
      <c r="Z75" s="61"/>
      <c r="AC75" s="58"/>
      <c r="AD75" s="47"/>
      <c r="AE75" s="13"/>
      <c r="AF75" s="47"/>
      <c r="AG75" s="10"/>
      <c r="AH75" s="61"/>
    </row>
    <row r="76" spans="2:34" ht="15" x14ac:dyDescent="0.25">
      <c r="B76" s="68"/>
      <c r="C76" s="132"/>
      <c r="D76" s="133"/>
      <c r="E76" s="133"/>
      <c r="F76" s="133"/>
      <c r="G76" s="132"/>
      <c r="H76" s="134"/>
      <c r="I76" s="134"/>
      <c r="J76" s="135"/>
      <c r="K76" s="135"/>
      <c r="L76" s="136"/>
      <c r="M76" s="50"/>
      <c r="N76" s="51"/>
      <c r="P76" s="89"/>
      <c r="U76" s="58"/>
      <c r="V76" s="47"/>
      <c r="W76" s="13"/>
      <c r="X76" s="47"/>
      <c r="Y76" s="10"/>
      <c r="Z76" s="61"/>
      <c r="AC76" s="58"/>
      <c r="AD76" s="47"/>
      <c r="AE76" s="13"/>
      <c r="AF76" s="47"/>
      <c r="AG76" s="10"/>
      <c r="AH76" s="61"/>
    </row>
    <row r="77" spans="2:34" ht="15" x14ac:dyDescent="0.25">
      <c r="B77" s="68">
        <v>2</v>
      </c>
      <c r="C77" s="79" t="s">
        <v>16</v>
      </c>
      <c r="D77" s="133"/>
      <c r="E77" s="133"/>
      <c r="F77" s="133"/>
      <c r="G77" s="127"/>
      <c r="H77" s="72"/>
      <c r="I77" s="72"/>
      <c r="J77" s="73"/>
      <c r="K77" s="73"/>
      <c r="L77" s="136"/>
      <c r="M77" s="50"/>
      <c r="N77" s="51"/>
      <c r="P77" s="89"/>
      <c r="U77" s="58"/>
      <c r="V77" s="81"/>
      <c r="W77" s="13"/>
      <c r="Z77" s="61"/>
      <c r="AC77" s="58"/>
      <c r="AD77" s="81"/>
      <c r="AE77" s="13"/>
      <c r="AF77" s="4"/>
      <c r="AG77" s="5"/>
      <c r="AH77" s="61"/>
    </row>
    <row r="78" spans="2:34" ht="15" outlineLevel="1" x14ac:dyDescent="0.25">
      <c r="B78" s="68"/>
      <c r="C78" s="137"/>
      <c r="D78" s="133"/>
      <c r="E78" s="133"/>
      <c r="F78" s="133"/>
      <c r="G78" s="127"/>
      <c r="H78" s="72"/>
      <c r="I78" s="72"/>
      <c r="J78" s="73"/>
      <c r="K78" s="73"/>
      <c r="L78" s="136"/>
      <c r="M78" s="50"/>
      <c r="N78" s="51"/>
      <c r="P78" s="89"/>
      <c r="U78" s="58"/>
      <c r="V78" s="138"/>
      <c r="W78" s="13"/>
      <c r="Z78" s="61"/>
      <c r="AC78" s="58"/>
      <c r="AD78" s="138"/>
      <c r="AE78" s="13"/>
      <c r="AF78" s="4"/>
      <c r="AG78" s="5"/>
      <c r="AH78" s="61"/>
    </row>
    <row r="79" spans="2:34" ht="15" outlineLevel="1" x14ac:dyDescent="0.25">
      <c r="B79" s="109"/>
      <c r="C79" s="82" t="s">
        <v>67</v>
      </c>
      <c r="D79" s="113"/>
      <c r="E79" s="113"/>
      <c r="F79" s="113"/>
      <c r="G79" s="127"/>
      <c r="H79" s="72"/>
      <c r="I79" s="72"/>
      <c r="J79" s="73"/>
      <c r="K79" s="73"/>
      <c r="L79" s="88"/>
      <c r="M79" s="50"/>
      <c r="N79" s="51"/>
      <c r="P79" s="89"/>
      <c r="V79" s="83"/>
      <c r="Z79" s="52"/>
      <c r="AC79" s="1"/>
      <c r="AD79" s="83"/>
      <c r="AE79" s="3"/>
      <c r="AF79" s="4"/>
      <c r="AG79" s="5"/>
      <c r="AH79" s="52"/>
    </row>
    <row r="80" spans="2:34" ht="15" outlineLevel="1" x14ac:dyDescent="0.25">
      <c r="B80" s="109"/>
      <c r="C80" s="139"/>
      <c r="D80" s="113"/>
      <c r="E80" s="113"/>
      <c r="F80" s="113"/>
      <c r="G80" s="127"/>
      <c r="H80" s="72"/>
      <c r="I80" s="72"/>
      <c r="J80" s="73"/>
      <c r="K80" s="73"/>
      <c r="L80" s="88"/>
      <c r="M80" s="50"/>
      <c r="N80" s="51"/>
      <c r="P80" s="89"/>
      <c r="V80" s="140"/>
      <c r="Z80" s="52"/>
      <c r="AC80" s="1"/>
      <c r="AD80" s="140"/>
      <c r="AE80" s="3"/>
      <c r="AF80" s="4"/>
      <c r="AG80" s="5"/>
      <c r="AH80" s="52"/>
    </row>
    <row r="81" spans="2:34" ht="40.5" outlineLevel="1" x14ac:dyDescent="0.25">
      <c r="B81" s="109">
        <v>1</v>
      </c>
      <c r="C81" s="110" t="s">
        <v>68</v>
      </c>
      <c r="D81" s="113">
        <v>42</v>
      </c>
      <c r="E81" s="113">
        <v>43.945000000000007</v>
      </c>
      <c r="F81" s="113">
        <v>43.945000000000007</v>
      </c>
      <c r="G81" s="127" t="s">
        <v>69</v>
      </c>
      <c r="H81" s="72">
        <v>550</v>
      </c>
      <c r="I81" s="72">
        <v>455</v>
      </c>
      <c r="J81" s="73">
        <f>+(D81*H81)</f>
        <v>23100</v>
      </c>
      <c r="K81" s="73">
        <f>+(E81*H81)</f>
        <v>24169.750000000004</v>
      </c>
      <c r="L81" s="88">
        <f>+(F81*I81)</f>
        <v>19994.975000000002</v>
      </c>
      <c r="M81" s="50"/>
      <c r="N81" s="51"/>
      <c r="P81" s="89"/>
      <c r="Z81" s="52"/>
      <c r="AA81" s="89"/>
      <c r="AB81" s="89"/>
      <c r="AC81" s="1"/>
      <c r="AE81" s="3"/>
      <c r="AF81" s="4"/>
      <c r="AG81" s="5"/>
      <c r="AH81" s="52"/>
    </row>
    <row r="82" spans="2:34" ht="15" outlineLevel="1" x14ac:dyDescent="0.25">
      <c r="B82" s="109"/>
      <c r="C82" s="110"/>
      <c r="D82" s="113"/>
      <c r="E82" s="113"/>
      <c r="F82" s="113"/>
      <c r="G82" s="127"/>
      <c r="H82" s="72"/>
      <c r="I82" s="72"/>
      <c r="J82" s="73"/>
      <c r="K82" s="73"/>
      <c r="L82" s="88">
        <f t="shared" ref="L82:L85" si="13">D82*H82</f>
        <v>0</v>
      </c>
      <c r="M82" s="50"/>
      <c r="N82" s="51"/>
      <c r="P82" s="89"/>
      <c r="Z82" s="52"/>
      <c r="AC82" s="1"/>
      <c r="AE82" s="3"/>
      <c r="AF82" s="4"/>
      <c r="AG82" s="5"/>
      <c r="AH82" s="52"/>
    </row>
    <row r="83" spans="2:34" ht="15" outlineLevel="1" x14ac:dyDescent="0.25">
      <c r="B83" s="109"/>
      <c r="C83" s="82" t="s">
        <v>70</v>
      </c>
      <c r="D83" s="113"/>
      <c r="E83" s="113"/>
      <c r="F83" s="113"/>
      <c r="G83" s="127"/>
      <c r="H83" s="72"/>
      <c r="I83" s="72"/>
      <c r="J83" s="73"/>
      <c r="K83" s="73"/>
      <c r="L83" s="88">
        <f t="shared" si="13"/>
        <v>0</v>
      </c>
      <c r="M83" s="50"/>
      <c r="N83" s="51"/>
      <c r="P83" s="89"/>
      <c r="V83" s="83"/>
      <c r="Z83" s="52"/>
      <c r="AC83" s="1"/>
      <c r="AD83" s="83"/>
      <c r="AE83" s="3"/>
      <c r="AF83" s="4"/>
      <c r="AG83" s="5"/>
      <c r="AH83" s="52"/>
    </row>
    <row r="84" spans="2:34" ht="15" outlineLevel="1" x14ac:dyDescent="0.25">
      <c r="B84" s="109"/>
      <c r="C84" s="141"/>
      <c r="D84" s="113"/>
      <c r="E84" s="113"/>
      <c r="F84" s="113"/>
      <c r="G84" s="127"/>
      <c r="H84" s="72"/>
      <c r="I84" s="72"/>
      <c r="J84" s="73"/>
      <c r="K84" s="73"/>
      <c r="L84" s="88">
        <f t="shared" si="13"/>
        <v>0</v>
      </c>
      <c r="M84" s="50"/>
      <c r="N84" s="51"/>
      <c r="P84" s="89"/>
      <c r="V84" s="142"/>
      <c r="Z84" s="52"/>
      <c r="AC84" s="1"/>
      <c r="AD84" s="142"/>
      <c r="AE84" s="3"/>
      <c r="AF84" s="4"/>
      <c r="AG84" s="5"/>
      <c r="AH84" s="52"/>
    </row>
    <row r="85" spans="2:34" ht="15" outlineLevel="1" x14ac:dyDescent="0.25">
      <c r="B85" s="109"/>
      <c r="C85" s="82" t="s">
        <v>71</v>
      </c>
      <c r="D85" s="113"/>
      <c r="E85" s="113"/>
      <c r="F85" s="113"/>
      <c r="G85" s="127"/>
      <c r="H85" s="72"/>
      <c r="I85" s="72"/>
      <c r="J85" s="73"/>
      <c r="K85" s="73"/>
      <c r="L85" s="88">
        <f t="shared" si="13"/>
        <v>0</v>
      </c>
      <c r="M85" s="50"/>
      <c r="N85" s="51"/>
      <c r="P85" s="89"/>
      <c r="V85" s="83"/>
      <c r="Z85" s="52"/>
      <c r="AC85" s="1"/>
      <c r="AD85" s="83"/>
      <c r="AE85" s="3"/>
      <c r="AF85" s="4"/>
      <c r="AG85" s="5"/>
      <c r="AH85" s="52"/>
    </row>
    <row r="86" spans="2:34" ht="27" outlineLevel="1" x14ac:dyDescent="0.25">
      <c r="B86" s="109">
        <v>2</v>
      </c>
      <c r="C86" s="110" t="s">
        <v>72</v>
      </c>
      <c r="D86" s="113">
        <f>D154*(1.5*1.5*1.5)</f>
        <v>64.125</v>
      </c>
      <c r="E86" s="113">
        <v>54</v>
      </c>
      <c r="F86" s="113">
        <v>54</v>
      </c>
      <c r="G86" s="127" t="s">
        <v>69</v>
      </c>
      <c r="H86" s="72">
        <v>185</v>
      </c>
      <c r="I86" s="72">
        <v>145</v>
      </c>
      <c r="J86" s="73">
        <f>+(D86*H86)</f>
        <v>11863.125</v>
      </c>
      <c r="K86" s="73">
        <f>+(E86*H86)</f>
        <v>9990</v>
      </c>
      <c r="L86" s="88">
        <f>+(F86*I86)</f>
        <v>7830</v>
      </c>
      <c r="M86" s="50"/>
      <c r="N86" s="51"/>
      <c r="P86" s="89"/>
      <c r="Z86" s="52"/>
      <c r="AA86" s="89"/>
      <c r="AB86" s="89"/>
      <c r="AC86" s="1"/>
      <c r="AE86" s="3"/>
      <c r="AF86" s="4"/>
      <c r="AG86" s="5"/>
      <c r="AH86" s="52"/>
    </row>
    <row r="87" spans="2:34" ht="15" outlineLevel="1" x14ac:dyDescent="0.25">
      <c r="B87" s="109"/>
      <c r="C87" s="110"/>
      <c r="D87" s="113"/>
      <c r="E87" s="113"/>
      <c r="F87" s="113"/>
      <c r="G87" s="127"/>
      <c r="H87" s="72"/>
      <c r="I87" s="72"/>
      <c r="J87" s="73"/>
      <c r="K87" s="73"/>
      <c r="L87" s="88"/>
      <c r="M87" s="50"/>
      <c r="N87" s="51"/>
      <c r="P87" s="89"/>
      <c r="Z87" s="52"/>
      <c r="AA87" s="89"/>
      <c r="AB87" s="89"/>
      <c r="AC87" s="1"/>
      <c r="AE87" s="3"/>
      <c r="AF87" s="4"/>
      <c r="AG87" s="5"/>
      <c r="AH87" s="52"/>
    </row>
    <row r="88" spans="2:34" ht="27" outlineLevel="1" x14ac:dyDescent="0.25">
      <c r="B88" s="109">
        <v>3</v>
      </c>
      <c r="C88" s="110" t="s">
        <v>73</v>
      </c>
      <c r="D88" s="113">
        <f>SUM(D86:D86)*0.5</f>
        <v>32.0625</v>
      </c>
      <c r="E88" s="113">
        <v>27</v>
      </c>
      <c r="F88" s="113">
        <v>27</v>
      </c>
      <c r="G88" s="127" t="s">
        <v>69</v>
      </c>
      <c r="H88" s="72">
        <v>125</v>
      </c>
      <c r="I88" s="72">
        <v>125</v>
      </c>
      <c r="J88" s="73">
        <f>+(D88*H88)</f>
        <v>4007.8125</v>
      </c>
      <c r="K88" s="73">
        <f>+(E88*H88)</f>
        <v>3375</v>
      </c>
      <c r="L88" s="88">
        <f>+(F88*I88)</f>
        <v>3375</v>
      </c>
      <c r="M88" s="50"/>
      <c r="N88" s="51"/>
      <c r="P88" s="89"/>
      <c r="Z88" s="52"/>
      <c r="AA88" s="89"/>
      <c r="AB88" s="89"/>
      <c r="AC88" s="1"/>
      <c r="AE88" s="3"/>
      <c r="AF88" s="4"/>
      <c r="AG88" s="5"/>
      <c r="AH88" s="52"/>
    </row>
    <row r="89" spans="2:34" ht="15" outlineLevel="1" x14ac:dyDescent="0.25">
      <c r="B89" s="109"/>
      <c r="C89" s="110"/>
      <c r="D89" s="113"/>
      <c r="E89" s="113"/>
      <c r="F89" s="113"/>
      <c r="G89" s="127"/>
      <c r="H89" s="72"/>
      <c r="I89" s="72"/>
      <c r="J89" s="73"/>
      <c r="K89" s="73"/>
      <c r="L89" s="88">
        <f t="shared" ref="L89:L90" si="14">D89*H89</f>
        <v>0</v>
      </c>
      <c r="M89" s="50"/>
      <c r="N89" s="51"/>
      <c r="P89" s="89"/>
      <c r="Z89" s="52"/>
      <c r="AC89" s="1"/>
      <c r="AE89" s="3"/>
      <c r="AF89" s="4"/>
      <c r="AG89" s="5"/>
      <c r="AH89" s="52"/>
    </row>
    <row r="90" spans="2:34" ht="15" outlineLevel="1" x14ac:dyDescent="0.25">
      <c r="B90" s="109"/>
      <c r="C90" s="82" t="s">
        <v>74</v>
      </c>
      <c r="D90" s="143"/>
      <c r="E90" s="143"/>
      <c r="F90" s="143"/>
      <c r="G90" s="127"/>
      <c r="H90" s="72"/>
      <c r="I90" s="72"/>
      <c r="J90" s="73"/>
      <c r="K90" s="73"/>
      <c r="L90" s="88">
        <f t="shared" si="14"/>
        <v>0</v>
      </c>
      <c r="M90" s="50"/>
      <c r="N90" s="51"/>
      <c r="P90" s="89"/>
      <c r="V90" s="83"/>
      <c r="W90" s="144"/>
      <c r="Z90" s="52"/>
      <c r="AC90" s="1"/>
      <c r="AD90" s="83"/>
      <c r="AE90" s="144"/>
      <c r="AF90" s="4"/>
      <c r="AG90" s="5"/>
      <c r="AH90" s="52"/>
    </row>
    <row r="91" spans="2:34" ht="27" outlineLevel="1" x14ac:dyDescent="0.25">
      <c r="B91" s="109">
        <v>6</v>
      </c>
      <c r="C91" s="145" t="s">
        <v>75</v>
      </c>
      <c r="D91" s="143">
        <f>[1]Quantaties!D10+[1]Quantaties!D11+[1]Quantaties!D12+[1]Quantaties!D9</f>
        <v>3142</v>
      </c>
      <c r="E91" s="143">
        <v>2066</v>
      </c>
      <c r="F91" s="143">
        <v>2066</v>
      </c>
      <c r="G91" s="146" t="s">
        <v>76</v>
      </c>
      <c r="H91" s="72">
        <v>9</v>
      </c>
      <c r="I91" s="72">
        <v>8</v>
      </c>
      <c r="J91" s="73">
        <f>+(D91*H91)</f>
        <v>28278</v>
      </c>
      <c r="K91" s="73">
        <f t="shared" ref="K91:L93" si="15">+(E91*H91)</f>
        <v>18594</v>
      </c>
      <c r="L91" s="88">
        <f t="shared" si="15"/>
        <v>16528</v>
      </c>
      <c r="M91" s="50"/>
      <c r="N91" s="51"/>
      <c r="P91" s="89"/>
      <c r="V91" s="147"/>
      <c r="X91" s="148"/>
      <c r="Z91" s="52"/>
      <c r="AA91" s="89"/>
      <c r="AB91" s="89"/>
      <c r="AC91" s="1"/>
      <c r="AD91" s="147"/>
      <c r="AE91" s="144"/>
      <c r="AF91" s="148"/>
      <c r="AG91" s="5"/>
      <c r="AH91" s="52"/>
    </row>
    <row r="92" spans="2:34" ht="27" outlineLevel="1" x14ac:dyDescent="0.25">
      <c r="B92" s="109">
        <v>7</v>
      </c>
      <c r="C92" s="145" t="s">
        <v>77</v>
      </c>
      <c r="D92" s="143">
        <f>[1]Quantaties!D10+[1]Quantaties!D11+[1]Quantaties!D12+[1]Quantaties!D9</f>
        <v>3142</v>
      </c>
      <c r="E92" s="143">
        <v>2066</v>
      </c>
      <c r="F92" s="143">
        <v>2066</v>
      </c>
      <c r="G92" s="146" t="s">
        <v>76</v>
      </c>
      <c r="H92" s="72">
        <v>10</v>
      </c>
      <c r="I92" s="72">
        <v>7</v>
      </c>
      <c r="J92" s="73">
        <f>+(D92*H92)</f>
        <v>31420</v>
      </c>
      <c r="K92" s="73">
        <f t="shared" si="15"/>
        <v>20660</v>
      </c>
      <c r="L92" s="88">
        <f t="shared" si="15"/>
        <v>14462</v>
      </c>
      <c r="M92" s="50"/>
      <c r="N92" s="51"/>
      <c r="P92" s="89"/>
      <c r="V92" s="147"/>
      <c r="X92" s="148"/>
      <c r="Z92" s="52"/>
      <c r="AA92" s="89"/>
      <c r="AB92" s="89"/>
      <c r="AC92" s="1"/>
      <c r="AD92" s="147"/>
      <c r="AE92" s="144"/>
      <c r="AF92" s="148"/>
      <c r="AG92" s="5"/>
      <c r="AH92" s="52"/>
    </row>
    <row r="93" spans="2:34" ht="15" outlineLevel="1" x14ac:dyDescent="0.25">
      <c r="B93" s="109">
        <v>8</v>
      </c>
      <c r="C93" s="145" t="s">
        <v>78</v>
      </c>
      <c r="D93" s="143">
        <v>7</v>
      </c>
      <c r="E93" s="143">
        <v>7</v>
      </c>
      <c r="F93" s="143">
        <v>7</v>
      </c>
      <c r="G93" s="146" t="s">
        <v>79</v>
      </c>
      <c r="H93" s="72">
        <v>2500</v>
      </c>
      <c r="I93" s="72"/>
      <c r="J93" s="73">
        <f>+(D93*H93)</f>
        <v>17500</v>
      </c>
      <c r="K93" s="73">
        <f t="shared" si="15"/>
        <v>17500</v>
      </c>
      <c r="L93" s="88">
        <f t="shared" si="15"/>
        <v>0</v>
      </c>
      <c r="M93" s="149"/>
      <c r="N93" s="150"/>
      <c r="P93" s="89"/>
      <c r="V93" s="147"/>
      <c r="W93" s="144"/>
      <c r="X93" s="148"/>
      <c r="Z93" s="52"/>
      <c r="AA93" s="89"/>
      <c r="AB93" s="89"/>
      <c r="AC93" s="1"/>
      <c r="AD93" s="147"/>
      <c r="AE93" s="144"/>
      <c r="AF93" s="148"/>
      <c r="AG93" s="5"/>
      <c r="AH93" s="52"/>
    </row>
    <row r="94" spans="2:34" ht="15.75" outlineLevel="1" thickBot="1" x14ac:dyDescent="0.3">
      <c r="B94" s="109"/>
      <c r="C94" s="145"/>
      <c r="D94" s="143">
        <f>D92-D181</f>
        <v>1722</v>
      </c>
      <c r="E94" s="143"/>
      <c r="F94" s="143"/>
      <c r="G94" s="146"/>
      <c r="H94" s="72"/>
      <c r="I94" s="72"/>
      <c r="J94" s="73"/>
      <c r="K94" s="73"/>
      <c r="L94" s="88"/>
      <c r="M94" s="50"/>
      <c r="N94" s="51"/>
      <c r="P94" s="89"/>
      <c r="V94" s="147"/>
      <c r="W94" s="144"/>
      <c r="X94" s="148"/>
      <c r="Z94" s="52"/>
      <c r="AC94" s="1"/>
      <c r="AD94" s="147"/>
      <c r="AE94" s="144"/>
      <c r="AF94" s="148"/>
      <c r="AG94" s="5"/>
      <c r="AH94" s="52"/>
    </row>
    <row r="95" spans="2:34" ht="15.75" thickBot="1" x14ac:dyDescent="0.3">
      <c r="B95" s="109"/>
      <c r="C95" s="110"/>
      <c r="D95" s="113"/>
      <c r="E95" s="114"/>
      <c r="F95" s="114"/>
      <c r="G95" s="307" t="s">
        <v>80</v>
      </c>
      <c r="H95" s="302"/>
      <c r="I95" s="115"/>
      <c r="J95" s="116">
        <f>+SUM(J81:J93)</f>
        <v>116168.9375</v>
      </c>
      <c r="K95" s="116">
        <f>+SUM(K81:K93)</f>
        <v>94288.75</v>
      </c>
      <c r="L95" s="117">
        <f>SUM(L81:L94)</f>
        <v>62189.975000000006</v>
      </c>
      <c r="M95" s="50"/>
      <c r="N95" s="51"/>
      <c r="P95" s="89"/>
      <c r="X95" s="296"/>
      <c r="Y95" s="296"/>
      <c r="Z95" s="119"/>
      <c r="AA95" s="119"/>
      <c r="AB95" s="119"/>
      <c r="AC95" s="1"/>
      <c r="AE95" s="3"/>
      <c r="AF95" s="296"/>
      <c r="AG95" s="296"/>
      <c r="AH95" s="119"/>
    </row>
    <row r="96" spans="2:34" ht="15.75" thickBot="1" x14ac:dyDescent="0.3">
      <c r="B96" s="120"/>
      <c r="C96" s="121"/>
      <c r="D96" s="122"/>
      <c r="E96" s="123"/>
      <c r="F96" s="123"/>
      <c r="G96" s="303" t="s">
        <v>66</v>
      </c>
      <c r="H96" s="304"/>
      <c r="I96" s="124"/>
      <c r="J96" s="124"/>
      <c r="K96" s="124"/>
      <c r="L96" s="125">
        <f>L95</f>
        <v>62189.975000000006</v>
      </c>
      <c r="M96" s="50"/>
      <c r="N96" s="51"/>
      <c r="P96" s="89"/>
      <c r="X96" s="296"/>
      <c r="Y96" s="296"/>
      <c r="Z96" s="119"/>
      <c r="AA96" s="119"/>
      <c r="AB96" s="119"/>
      <c r="AC96" s="1"/>
      <c r="AE96" s="3"/>
      <c r="AF96" s="296"/>
      <c r="AG96" s="296"/>
      <c r="AH96" s="119"/>
    </row>
    <row r="97" spans="2:34" ht="15" x14ac:dyDescent="0.25">
      <c r="B97" s="109"/>
      <c r="C97" s="126"/>
      <c r="D97" s="113"/>
      <c r="E97" s="113"/>
      <c r="F97" s="113"/>
      <c r="G97" s="127"/>
      <c r="H97" s="113"/>
      <c r="I97" s="113"/>
      <c r="J97" s="128"/>
      <c r="K97" s="128"/>
      <c r="L97" s="88"/>
      <c r="M97" s="50"/>
      <c r="N97" s="51"/>
      <c r="P97" s="89"/>
      <c r="V97" s="118"/>
      <c r="Y97" s="3"/>
      <c r="Z97" s="52"/>
      <c r="AC97" s="1"/>
      <c r="AD97" s="118"/>
      <c r="AE97" s="3"/>
      <c r="AF97" s="4"/>
      <c r="AG97" s="3"/>
      <c r="AH97" s="52"/>
    </row>
    <row r="98" spans="2:34" ht="15.75" outlineLevel="2" thickBot="1" x14ac:dyDescent="0.3">
      <c r="B98" s="109"/>
      <c r="C98" s="126"/>
      <c r="D98" s="113"/>
      <c r="E98" s="113"/>
      <c r="F98" s="113"/>
      <c r="G98" s="127"/>
      <c r="H98" s="113"/>
      <c r="I98" s="113"/>
      <c r="J98" s="128"/>
      <c r="K98" s="128"/>
      <c r="L98" s="88"/>
      <c r="M98" s="50"/>
      <c r="N98" s="51"/>
      <c r="P98" s="89"/>
      <c r="V98" s="118"/>
      <c r="Y98" s="3"/>
      <c r="Z98" s="52"/>
      <c r="AC98" s="1"/>
      <c r="AD98" s="118"/>
      <c r="AE98" s="3"/>
      <c r="AF98" s="4"/>
      <c r="AG98" s="3"/>
      <c r="AH98" s="52"/>
    </row>
    <row r="99" spans="2:34" ht="30.75" outlineLevel="2" thickBot="1" x14ac:dyDescent="0.3">
      <c r="B99" s="109"/>
      <c r="C99" s="110"/>
      <c r="D99" s="55" t="s">
        <v>11</v>
      </c>
      <c r="E99" s="55" t="s">
        <v>213</v>
      </c>
      <c r="F99" s="55" t="s">
        <v>12</v>
      </c>
      <c r="G99" s="54"/>
      <c r="H99" s="54" t="s">
        <v>28</v>
      </c>
      <c r="I99" s="54" t="s">
        <v>29</v>
      </c>
      <c r="J99" s="55" t="s">
        <v>11</v>
      </c>
      <c r="K99" s="55" t="s">
        <v>213</v>
      </c>
      <c r="L99" s="56" t="s">
        <v>12</v>
      </c>
      <c r="M99" s="50"/>
      <c r="N99" s="51"/>
      <c r="P99" s="89"/>
      <c r="Y99" s="3"/>
      <c r="Z99" s="52"/>
      <c r="AC99" s="1"/>
      <c r="AE99" s="3"/>
      <c r="AF99" s="4"/>
      <c r="AG99" s="3"/>
      <c r="AH99" s="52"/>
    </row>
    <row r="100" spans="2:34" ht="15" x14ac:dyDescent="0.25">
      <c r="B100" s="130" t="s">
        <v>30</v>
      </c>
      <c r="C100" s="131" t="s">
        <v>31</v>
      </c>
      <c r="D100" s="64" t="s">
        <v>32</v>
      </c>
      <c r="E100" s="64" t="s">
        <v>32</v>
      </c>
      <c r="F100" s="64" t="s">
        <v>32</v>
      </c>
      <c r="G100" s="63" t="s">
        <v>33</v>
      </c>
      <c r="H100" s="65" t="s">
        <v>34</v>
      </c>
      <c r="I100" s="65" t="s">
        <v>34</v>
      </c>
      <c r="J100" s="66" t="s">
        <v>14</v>
      </c>
      <c r="K100" s="66" t="s">
        <v>14</v>
      </c>
      <c r="L100" s="67" t="s">
        <v>14</v>
      </c>
      <c r="M100" s="50"/>
      <c r="N100" s="51"/>
      <c r="P100" s="89"/>
      <c r="U100" s="58"/>
      <c r="V100" s="47"/>
      <c r="W100" s="13"/>
      <c r="X100" s="47"/>
      <c r="Y100" s="10"/>
      <c r="Z100" s="61"/>
      <c r="AC100" s="58"/>
      <c r="AD100" s="47"/>
      <c r="AE100" s="13"/>
      <c r="AF100" s="47"/>
      <c r="AG100" s="10"/>
      <c r="AH100" s="61"/>
    </row>
    <row r="101" spans="2:34" ht="15" x14ac:dyDescent="0.25">
      <c r="B101" s="68"/>
      <c r="C101" s="132"/>
      <c r="D101" s="133"/>
      <c r="E101" s="133"/>
      <c r="F101" s="133"/>
      <c r="G101" s="132"/>
      <c r="H101" s="134"/>
      <c r="I101" s="134"/>
      <c r="J101" s="135"/>
      <c r="K101" s="135"/>
      <c r="L101" s="74"/>
      <c r="M101" s="50"/>
      <c r="N101" s="51"/>
      <c r="P101" s="89"/>
      <c r="U101" s="58"/>
      <c r="V101" s="47"/>
      <c r="W101" s="13"/>
      <c r="X101" s="47"/>
      <c r="Y101" s="10"/>
      <c r="Z101" s="61"/>
      <c r="AC101" s="58"/>
      <c r="AD101" s="47"/>
      <c r="AE101" s="13"/>
      <c r="AF101" s="47"/>
      <c r="AG101" s="10"/>
      <c r="AH101" s="61"/>
    </row>
    <row r="102" spans="2:34" ht="15" x14ac:dyDescent="0.25">
      <c r="B102" s="68">
        <v>3</v>
      </c>
      <c r="C102" s="79" t="s">
        <v>17</v>
      </c>
      <c r="D102" s="113"/>
      <c r="E102" s="113"/>
      <c r="F102" s="113"/>
      <c r="G102" s="127"/>
      <c r="H102" s="72"/>
      <c r="I102" s="72"/>
      <c r="J102" s="73"/>
      <c r="K102" s="73"/>
      <c r="L102" s="88"/>
      <c r="M102" s="50"/>
      <c r="N102" s="51"/>
      <c r="P102" s="89"/>
      <c r="U102" s="58"/>
      <c r="V102" s="81"/>
      <c r="Z102" s="52"/>
      <c r="AC102" s="58"/>
      <c r="AD102" s="81"/>
      <c r="AE102" s="3"/>
      <c r="AF102" s="4"/>
      <c r="AG102" s="5"/>
      <c r="AH102" s="52"/>
    </row>
    <row r="103" spans="2:34" ht="15" outlineLevel="1" x14ac:dyDescent="0.25">
      <c r="B103" s="68"/>
      <c r="C103" s="79"/>
      <c r="D103" s="113"/>
      <c r="E103" s="113"/>
      <c r="F103" s="113"/>
      <c r="G103" s="127"/>
      <c r="H103" s="72"/>
      <c r="I103" s="72"/>
      <c r="J103" s="73"/>
      <c r="K103" s="73"/>
      <c r="L103" s="88"/>
      <c r="M103" s="50"/>
      <c r="N103" s="51"/>
      <c r="P103" s="89"/>
      <c r="U103" s="58"/>
      <c r="V103" s="81"/>
      <c r="Z103" s="52"/>
      <c r="AC103" s="58"/>
      <c r="AD103" s="81"/>
      <c r="AE103" s="3"/>
      <c r="AF103" s="4"/>
      <c r="AG103" s="5"/>
      <c r="AH103" s="52"/>
    </row>
    <row r="104" spans="2:34" ht="30" outlineLevel="1" x14ac:dyDescent="0.25">
      <c r="B104" s="68"/>
      <c r="C104" s="151" t="s">
        <v>81</v>
      </c>
      <c r="D104" s="113"/>
      <c r="E104" s="113"/>
      <c r="F104" s="113"/>
      <c r="G104" s="127"/>
      <c r="H104" s="72"/>
      <c r="I104" s="72"/>
      <c r="J104" s="73"/>
      <c r="K104" s="73"/>
      <c r="L104" s="88"/>
      <c r="M104" s="50"/>
      <c r="N104" s="51"/>
      <c r="P104" s="89"/>
      <c r="U104" s="58"/>
      <c r="V104" s="59"/>
      <c r="Z104" s="52"/>
      <c r="AC104" s="58"/>
      <c r="AD104" s="59"/>
      <c r="AE104" s="3"/>
      <c r="AF104" s="4"/>
      <c r="AG104" s="5"/>
      <c r="AH104" s="52"/>
    </row>
    <row r="105" spans="2:34" ht="15" outlineLevel="1" x14ac:dyDescent="0.25">
      <c r="B105" s="68"/>
      <c r="C105" s="110"/>
      <c r="D105" s="113"/>
      <c r="E105" s="113"/>
      <c r="F105" s="113"/>
      <c r="G105" s="127"/>
      <c r="H105" s="72"/>
      <c r="I105" s="72"/>
      <c r="J105" s="73"/>
      <c r="K105" s="73"/>
      <c r="L105" s="88"/>
      <c r="M105" s="50"/>
      <c r="N105" s="51"/>
      <c r="P105" s="89"/>
      <c r="U105" s="58"/>
      <c r="Z105" s="52"/>
      <c r="AC105" s="58"/>
      <c r="AE105" s="3"/>
      <c r="AF105" s="4"/>
      <c r="AG105" s="5"/>
      <c r="AH105" s="52"/>
    </row>
    <row r="106" spans="2:34" ht="15" outlineLevel="1" x14ac:dyDescent="0.25">
      <c r="B106" s="68"/>
      <c r="C106" s="82" t="s">
        <v>82</v>
      </c>
      <c r="D106" s="113"/>
      <c r="E106" s="113"/>
      <c r="F106" s="113"/>
      <c r="G106" s="127"/>
      <c r="H106" s="72"/>
      <c r="I106" s="72"/>
      <c r="J106" s="73"/>
      <c r="K106" s="73"/>
      <c r="L106" s="88"/>
      <c r="M106" s="50"/>
      <c r="N106" s="51"/>
      <c r="P106" s="89"/>
      <c r="U106" s="58"/>
      <c r="V106" s="83"/>
      <c r="Z106" s="52"/>
      <c r="AC106" s="58"/>
      <c r="AD106" s="83"/>
      <c r="AE106" s="3"/>
      <c r="AF106" s="4"/>
      <c r="AG106" s="5"/>
      <c r="AH106" s="52"/>
    </row>
    <row r="107" spans="2:34" ht="29.25" customHeight="1" outlineLevel="1" x14ac:dyDescent="0.25">
      <c r="B107" s="109">
        <v>1</v>
      </c>
      <c r="C107" s="152" t="s">
        <v>83</v>
      </c>
      <c r="D107" s="113">
        <f>SUM(D86:D86)*50%</f>
        <v>32.0625</v>
      </c>
      <c r="E107" s="113">
        <v>27</v>
      </c>
      <c r="F107" s="113">
        <v>27</v>
      </c>
      <c r="G107" s="127" t="s">
        <v>69</v>
      </c>
      <c r="H107" s="72">
        <v>798</v>
      </c>
      <c r="I107" s="72">
        <v>638</v>
      </c>
      <c r="J107" s="73">
        <f>+(D107*H107)</f>
        <v>25585.875</v>
      </c>
      <c r="K107" s="73">
        <f>+(E107*H107)</f>
        <v>21546</v>
      </c>
      <c r="L107" s="88">
        <f>+(F107*I107)</f>
        <v>17226</v>
      </c>
      <c r="M107" s="50"/>
      <c r="N107" s="51"/>
      <c r="P107" s="89"/>
      <c r="Q107" s="153"/>
      <c r="V107" s="154"/>
      <c r="Z107" s="52"/>
      <c r="AA107" s="89"/>
      <c r="AB107" s="89"/>
      <c r="AC107" s="1"/>
      <c r="AD107" s="154"/>
      <c r="AE107" s="3"/>
      <c r="AF107" s="4"/>
      <c r="AG107" s="5"/>
      <c r="AH107" s="52"/>
    </row>
    <row r="108" spans="2:34" ht="27" outlineLevel="1" x14ac:dyDescent="0.25">
      <c r="B108" s="109">
        <v>2</v>
      </c>
      <c r="C108" s="152" t="s">
        <v>84</v>
      </c>
      <c r="D108" s="113">
        <f>([1]Quantaties!D10+[1]Quantaties!D12+[1]Quantaties!D11)*0.1</f>
        <v>230.3</v>
      </c>
      <c r="E108" s="113">
        <v>206.60000000000002</v>
      </c>
      <c r="F108" s="113">
        <v>206.60000000000002</v>
      </c>
      <c r="G108" s="127" t="s">
        <v>69</v>
      </c>
      <c r="H108" s="72">
        <v>798</v>
      </c>
      <c r="I108" s="72">
        <v>638</v>
      </c>
      <c r="J108" s="73">
        <f>+(D108*H108)</f>
        <v>183779.40000000002</v>
      </c>
      <c r="K108" s="73">
        <f>+(E108*H108)</f>
        <v>164866.80000000002</v>
      </c>
      <c r="L108" s="88">
        <f>+(F108*I108)</f>
        <v>131810.80000000002</v>
      </c>
      <c r="M108" s="50"/>
      <c r="N108" s="51"/>
      <c r="P108" s="89"/>
      <c r="V108" s="154"/>
      <c r="Z108" s="52"/>
      <c r="AA108" s="89"/>
      <c r="AB108" s="89"/>
      <c r="AC108" s="1"/>
      <c r="AD108" s="154"/>
      <c r="AE108" s="3"/>
      <c r="AF108" s="4"/>
      <c r="AG108" s="5"/>
      <c r="AH108" s="52"/>
    </row>
    <row r="109" spans="2:34" ht="15" outlineLevel="1" x14ac:dyDescent="0.25">
      <c r="B109" s="109"/>
      <c r="C109" s="110"/>
      <c r="D109" s="113"/>
      <c r="E109" s="113"/>
      <c r="F109" s="113"/>
      <c r="G109" s="127"/>
      <c r="H109" s="72"/>
      <c r="I109" s="72"/>
      <c r="J109" s="73"/>
      <c r="K109" s="73"/>
      <c r="L109" s="88">
        <f t="shared" ref="L109:L131" si="16">D109*H109</f>
        <v>0</v>
      </c>
      <c r="M109" s="50"/>
      <c r="N109" s="51"/>
      <c r="P109" s="89"/>
      <c r="Z109" s="52"/>
      <c r="AC109" s="1"/>
      <c r="AE109" s="3"/>
      <c r="AF109" s="4"/>
      <c r="AG109" s="5"/>
      <c r="AH109" s="52"/>
    </row>
    <row r="110" spans="2:34" ht="15" outlineLevel="1" x14ac:dyDescent="0.25">
      <c r="B110" s="68"/>
      <c r="C110" s="82" t="s">
        <v>85</v>
      </c>
      <c r="D110" s="113"/>
      <c r="E110" s="113"/>
      <c r="F110" s="113"/>
      <c r="G110" s="127"/>
      <c r="H110" s="72"/>
      <c r="I110" s="72"/>
      <c r="J110" s="73"/>
      <c r="K110" s="73"/>
      <c r="L110" s="88">
        <f t="shared" si="16"/>
        <v>0</v>
      </c>
      <c r="M110" s="50"/>
      <c r="N110" s="51"/>
      <c r="P110" s="89"/>
      <c r="U110" s="58"/>
      <c r="V110" s="83"/>
      <c r="Z110" s="52"/>
      <c r="AC110" s="58"/>
      <c r="AD110" s="83"/>
      <c r="AE110" s="3"/>
      <c r="AF110" s="4"/>
      <c r="AG110" s="5"/>
      <c r="AH110" s="52"/>
    </row>
    <row r="111" spans="2:34" ht="15" outlineLevel="1" x14ac:dyDescent="0.25">
      <c r="B111" s="109">
        <v>3</v>
      </c>
      <c r="C111" s="152" t="s">
        <v>86</v>
      </c>
      <c r="D111" s="113">
        <f>SUM(D86:D86)*50%</f>
        <v>32.0625</v>
      </c>
      <c r="E111" s="113">
        <v>27</v>
      </c>
      <c r="F111" s="113">
        <v>27</v>
      </c>
      <c r="G111" s="127" t="s">
        <v>69</v>
      </c>
      <c r="H111" s="72">
        <v>798</v>
      </c>
      <c r="I111" s="72">
        <v>638</v>
      </c>
      <c r="J111" s="73">
        <f>+(D111*H111)</f>
        <v>25585.875</v>
      </c>
      <c r="K111" s="73">
        <f>+(E111*H111)</f>
        <v>21546</v>
      </c>
      <c r="L111" s="88">
        <f>+(F111*I111)</f>
        <v>17226</v>
      </c>
      <c r="M111" s="50"/>
      <c r="N111" s="51"/>
      <c r="P111" s="89"/>
      <c r="Q111" s="153"/>
      <c r="V111" s="154"/>
      <c r="Z111" s="52"/>
      <c r="AA111" s="89"/>
      <c r="AB111" s="89"/>
      <c r="AC111" s="1"/>
      <c r="AD111" s="154"/>
      <c r="AE111" s="3"/>
      <c r="AF111" s="4"/>
      <c r="AG111" s="5"/>
      <c r="AH111" s="52"/>
    </row>
    <row r="112" spans="2:34" ht="15" outlineLevel="1" x14ac:dyDescent="0.25">
      <c r="B112" s="109"/>
      <c r="C112" s="152"/>
      <c r="D112" s="113"/>
      <c r="E112" s="113"/>
      <c r="F112" s="113"/>
      <c r="G112" s="127"/>
      <c r="H112" s="72"/>
      <c r="I112" s="72"/>
      <c r="J112" s="73"/>
      <c r="K112" s="73"/>
      <c r="L112" s="88">
        <f t="shared" si="16"/>
        <v>0</v>
      </c>
      <c r="M112" s="50"/>
      <c r="N112" s="51"/>
      <c r="P112" s="89"/>
      <c r="V112" s="154"/>
      <c r="Z112" s="52"/>
      <c r="AC112" s="1"/>
      <c r="AD112" s="154"/>
      <c r="AE112" s="3"/>
      <c r="AF112" s="4"/>
      <c r="AG112" s="5"/>
      <c r="AH112" s="52"/>
    </row>
    <row r="113" spans="2:34" ht="15" outlineLevel="1" x14ac:dyDescent="0.25">
      <c r="B113" s="68"/>
      <c r="C113" s="82" t="s">
        <v>87</v>
      </c>
      <c r="D113" s="113"/>
      <c r="E113" s="113"/>
      <c r="F113" s="113"/>
      <c r="G113" s="127"/>
      <c r="H113" s="72"/>
      <c r="I113" s="72"/>
      <c r="J113" s="73"/>
      <c r="K113" s="73"/>
      <c r="L113" s="88">
        <f t="shared" si="16"/>
        <v>0</v>
      </c>
      <c r="M113" s="50"/>
      <c r="N113" s="51"/>
      <c r="P113" s="89"/>
      <c r="U113" s="58"/>
      <c r="V113" s="83"/>
      <c r="Z113" s="52"/>
      <c r="AC113" s="58"/>
      <c r="AD113" s="83"/>
      <c r="AE113" s="3"/>
      <c r="AF113" s="4"/>
      <c r="AG113" s="5"/>
      <c r="AH113" s="52"/>
    </row>
    <row r="114" spans="2:34" ht="15" outlineLevel="1" x14ac:dyDescent="0.25">
      <c r="B114" s="109">
        <v>4</v>
      </c>
      <c r="C114" s="152" t="s">
        <v>88</v>
      </c>
      <c r="D114" s="113">
        <f>SUM(D86:D86)</f>
        <v>64.125</v>
      </c>
      <c r="E114" s="113">
        <v>54</v>
      </c>
      <c r="F114" s="113">
        <v>54</v>
      </c>
      <c r="G114" s="127" t="s">
        <v>89</v>
      </c>
      <c r="H114" s="72">
        <v>12</v>
      </c>
      <c r="I114" s="72">
        <v>9</v>
      </c>
      <c r="J114" s="73">
        <f>+(D114*H114)</f>
        <v>769.5</v>
      </c>
      <c r="K114" s="73">
        <f>+(E114*H114)</f>
        <v>648</v>
      </c>
      <c r="L114" s="88">
        <f>+(F114*I114)</f>
        <v>486</v>
      </c>
      <c r="M114" s="50"/>
      <c r="N114" s="51"/>
      <c r="P114" s="89"/>
      <c r="V114" s="154"/>
      <c r="Z114" s="52"/>
      <c r="AA114" s="89"/>
      <c r="AB114" s="89"/>
      <c r="AC114" s="1"/>
      <c r="AD114" s="154"/>
      <c r="AE114" s="3"/>
      <c r="AF114" s="4"/>
      <c r="AG114" s="5"/>
      <c r="AH114" s="52"/>
    </row>
    <row r="115" spans="2:34" ht="27" outlineLevel="1" x14ac:dyDescent="0.25">
      <c r="B115" s="109">
        <v>5</v>
      </c>
      <c r="C115" s="152" t="s">
        <v>90</v>
      </c>
      <c r="D115" s="113">
        <f>([1]Quantaties!D21)*0.25</f>
        <v>785.5</v>
      </c>
      <c r="E115" s="113">
        <v>814.25</v>
      </c>
      <c r="F115" s="113">
        <v>814.25</v>
      </c>
      <c r="G115" s="127" t="s">
        <v>89</v>
      </c>
      <c r="H115" s="72">
        <v>12</v>
      </c>
      <c r="I115" s="72">
        <v>9</v>
      </c>
      <c r="J115" s="73">
        <f>+(D115*H115)</f>
        <v>9426</v>
      </c>
      <c r="K115" s="73">
        <f>+(E115*H115)</f>
        <v>9771</v>
      </c>
      <c r="L115" s="88">
        <f>+(F115*I115)</f>
        <v>7328.25</v>
      </c>
      <c r="M115" s="50"/>
      <c r="N115" s="51"/>
      <c r="P115" s="89"/>
      <c r="V115" s="154"/>
      <c r="Z115" s="52"/>
      <c r="AA115" s="89"/>
      <c r="AB115" s="89"/>
      <c r="AC115" s="1"/>
      <c r="AD115" s="154"/>
      <c r="AE115" s="3"/>
      <c r="AF115" s="4"/>
      <c r="AG115" s="5"/>
      <c r="AH115" s="52"/>
    </row>
    <row r="116" spans="2:34" ht="15" outlineLevel="1" x14ac:dyDescent="0.25">
      <c r="B116" s="109"/>
      <c r="C116" s="152"/>
      <c r="D116" s="113"/>
      <c r="E116" s="113"/>
      <c r="F116" s="113"/>
      <c r="G116" s="127"/>
      <c r="H116" s="72"/>
      <c r="I116" s="72"/>
      <c r="J116" s="73"/>
      <c r="K116" s="73"/>
      <c r="L116" s="88">
        <f t="shared" si="16"/>
        <v>0</v>
      </c>
      <c r="M116" s="50"/>
      <c r="N116" s="51"/>
      <c r="P116" s="89"/>
      <c r="V116" s="154"/>
      <c r="Z116" s="52"/>
      <c r="AC116" s="1"/>
      <c r="AD116" s="154"/>
      <c r="AE116" s="3"/>
      <c r="AF116" s="4"/>
      <c r="AG116" s="5"/>
      <c r="AH116" s="52"/>
    </row>
    <row r="117" spans="2:34" ht="15" outlineLevel="1" x14ac:dyDescent="0.25">
      <c r="B117" s="68"/>
      <c r="C117" s="82" t="s">
        <v>91</v>
      </c>
      <c r="D117" s="113"/>
      <c r="E117" s="113"/>
      <c r="F117" s="113"/>
      <c r="G117" s="127"/>
      <c r="H117" s="72"/>
      <c r="I117" s="72"/>
      <c r="J117" s="73"/>
      <c r="K117" s="73"/>
      <c r="L117" s="88">
        <f t="shared" si="16"/>
        <v>0</v>
      </c>
      <c r="M117" s="50"/>
      <c r="N117" s="51"/>
      <c r="P117" s="89"/>
      <c r="U117" s="58"/>
      <c r="V117" s="83"/>
      <c r="Z117" s="52"/>
      <c r="AC117" s="58"/>
      <c r="AD117" s="83"/>
      <c r="AE117" s="3"/>
      <c r="AF117" s="4"/>
      <c r="AG117" s="5"/>
      <c r="AH117" s="52"/>
    </row>
    <row r="118" spans="2:34" ht="27" outlineLevel="1" x14ac:dyDescent="0.25">
      <c r="B118" s="109">
        <v>6</v>
      </c>
      <c r="C118" s="110" t="s">
        <v>92</v>
      </c>
      <c r="D118" s="113">
        <f>D108</f>
        <v>230.3</v>
      </c>
      <c r="E118" s="113">
        <v>206.60000000000002</v>
      </c>
      <c r="F118" s="113">
        <v>206.60000000000002</v>
      </c>
      <c r="G118" s="127" t="s">
        <v>69</v>
      </c>
      <c r="H118" s="72">
        <v>125</v>
      </c>
      <c r="I118" s="72">
        <v>125</v>
      </c>
      <c r="J118" s="73">
        <f>+(D118*H118)</f>
        <v>28787.5</v>
      </c>
      <c r="K118" s="73">
        <f>+(E118*H118)</f>
        <v>25825.000000000004</v>
      </c>
      <c r="L118" s="88">
        <f>+(F118*I118)</f>
        <v>25825.000000000004</v>
      </c>
      <c r="M118" s="50"/>
      <c r="N118" s="51"/>
      <c r="P118" s="89"/>
      <c r="Z118" s="52"/>
      <c r="AA118" s="89"/>
      <c r="AB118" s="89"/>
      <c r="AC118" s="1"/>
      <c r="AE118" s="3"/>
      <c r="AF118" s="4"/>
      <c r="AG118" s="5"/>
      <c r="AH118" s="52"/>
    </row>
    <row r="119" spans="2:34" ht="15" outlineLevel="1" x14ac:dyDescent="0.25">
      <c r="B119" s="155"/>
      <c r="C119" s="156"/>
      <c r="D119" s="113"/>
      <c r="E119" s="113"/>
      <c r="F119" s="113"/>
      <c r="G119" s="127"/>
      <c r="H119" s="72"/>
      <c r="I119" s="72"/>
      <c r="J119" s="73"/>
      <c r="K119" s="73"/>
      <c r="L119" s="88">
        <f t="shared" si="16"/>
        <v>0</v>
      </c>
      <c r="M119" s="50"/>
      <c r="N119" s="51"/>
      <c r="P119" s="89"/>
      <c r="U119" s="157"/>
      <c r="V119" s="158"/>
      <c r="Z119" s="52"/>
      <c r="AC119" s="157"/>
      <c r="AD119" s="158"/>
      <c r="AE119" s="3"/>
      <c r="AF119" s="4"/>
      <c r="AG119" s="5"/>
      <c r="AH119" s="52"/>
    </row>
    <row r="120" spans="2:34" ht="15" outlineLevel="1" x14ac:dyDescent="0.25">
      <c r="B120" s="68"/>
      <c r="C120" s="82" t="s">
        <v>93</v>
      </c>
      <c r="D120" s="113"/>
      <c r="E120" s="113"/>
      <c r="F120" s="113"/>
      <c r="G120" s="127"/>
      <c r="H120" s="72"/>
      <c r="I120" s="72"/>
      <c r="J120" s="73"/>
      <c r="K120" s="73"/>
      <c r="L120" s="88">
        <f t="shared" si="16"/>
        <v>0</v>
      </c>
      <c r="M120" s="50"/>
      <c r="N120" s="51"/>
      <c r="P120" s="89"/>
      <c r="U120" s="58"/>
      <c r="V120" s="83"/>
      <c r="Z120" s="52"/>
      <c r="AC120" s="58"/>
      <c r="AD120" s="83"/>
      <c r="AE120" s="3"/>
      <c r="AF120" s="4"/>
      <c r="AG120" s="5"/>
      <c r="AH120" s="52"/>
    </row>
    <row r="121" spans="2:34" ht="27" outlineLevel="1" x14ac:dyDescent="0.25">
      <c r="B121" s="109">
        <v>7</v>
      </c>
      <c r="C121" s="110" t="s">
        <v>94</v>
      </c>
      <c r="D121" s="113">
        <f>D107+D111</f>
        <v>64.125</v>
      </c>
      <c r="E121" s="113">
        <v>54</v>
      </c>
      <c r="F121" s="113">
        <v>54</v>
      </c>
      <c r="G121" s="127" t="s">
        <v>69</v>
      </c>
      <c r="H121" s="72">
        <v>125</v>
      </c>
      <c r="I121" s="72">
        <v>125</v>
      </c>
      <c r="J121" s="73">
        <f>+(D121*H121)</f>
        <v>8015.625</v>
      </c>
      <c r="K121" s="73">
        <f>+(E121*H121)</f>
        <v>6750</v>
      </c>
      <c r="L121" s="88">
        <f>+(F121*I121)</f>
        <v>6750</v>
      </c>
      <c r="M121" s="50"/>
      <c r="N121" s="51"/>
      <c r="P121" s="89"/>
      <c r="Q121" s="153"/>
      <c r="Z121" s="52"/>
      <c r="AA121" s="89"/>
      <c r="AB121" s="89"/>
      <c r="AC121" s="1"/>
      <c r="AE121" s="3"/>
      <c r="AF121" s="4"/>
      <c r="AG121" s="5"/>
      <c r="AH121" s="52"/>
    </row>
    <row r="122" spans="2:34" ht="15" outlineLevel="1" x14ac:dyDescent="0.25">
      <c r="B122" s="109"/>
      <c r="C122" s="110"/>
      <c r="D122" s="113"/>
      <c r="E122" s="113"/>
      <c r="F122" s="113"/>
      <c r="G122" s="127"/>
      <c r="H122" s="72"/>
      <c r="I122" s="72"/>
      <c r="J122" s="73"/>
      <c r="K122" s="73"/>
      <c r="L122" s="88">
        <f t="shared" si="16"/>
        <v>0</v>
      </c>
      <c r="M122" s="50"/>
      <c r="N122" s="51"/>
      <c r="P122" s="89"/>
      <c r="Z122" s="52"/>
      <c r="AC122" s="1"/>
      <c r="AE122" s="3"/>
      <c r="AF122" s="4"/>
      <c r="AG122" s="5"/>
      <c r="AH122" s="52"/>
    </row>
    <row r="123" spans="2:34" ht="15" outlineLevel="1" x14ac:dyDescent="0.25">
      <c r="B123" s="68"/>
      <c r="C123" s="82" t="s">
        <v>95</v>
      </c>
      <c r="D123" s="113"/>
      <c r="E123" s="113"/>
      <c r="F123" s="113"/>
      <c r="G123" s="127"/>
      <c r="H123" s="72"/>
      <c r="I123" s="72"/>
      <c r="J123" s="73"/>
      <c r="K123" s="73"/>
      <c r="L123" s="88">
        <f t="shared" si="16"/>
        <v>0</v>
      </c>
      <c r="M123" s="50"/>
      <c r="N123" s="51"/>
      <c r="P123" s="89"/>
      <c r="U123" s="58"/>
      <c r="V123" s="83"/>
      <c r="Z123" s="52"/>
      <c r="AC123" s="58"/>
      <c r="AD123" s="83"/>
      <c r="AE123" s="3"/>
      <c r="AF123" s="4"/>
      <c r="AG123" s="5"/>
      <c r="AH123" s="52"/>
    </row>
    <row r="124" spans="2:34" ht="15" outlineLevel="1" x14ac:dyDescent="0.25">
      <c r="B124" s="109">
        <v>8</v>
      </c>
      <c r="C124" s="110" t="s">
        <v>96</v>
      </c>
      <c r="D124" s="159">
        <f>0.05*(D108+D107)</f>
        <v>13.118125000000001</v>
      </c>
      <c r="E124" s="159">
        <v>11.680000000000001</v>
      </c>
      <c r="F124" s="159">
        <v>11.680000000000001</v>
      </c>
      <c r="G124" s="127" t="s">
        <v>97</v>
      </c>
      <c r="H124" s="72">
        <v>385</v>
      </c>
      <c r="I124" s="72">
        <v>385</v>
      </c>
      <c r="J124" s="73">
        <f>+(D124*H124)</f>
        <v>5050.4781250000005</v>
      </c>
      <c r="K124" s="73">
        <f>+(E124*H124)</f>
        <v>4496.8</v>
      </c>
      <c r="L124" s="88">
        <f>+(F124*I124)</f>
        <v>4496.8</v>
      </c>
      <c r="M124" s="50"/>
      <c r="N124" s="51"/>
      <c r="P124" s="89"/>
      <c r="W124" s="160"/>
      <c r="Z124" s="52"/>
      <c r="AA124" s="89"/>
      <c r="AB124" s="89"/>
      <c r="AC124" s="1"/>
      <c r="AE124" s="160"/>
      <c r="AF124" s="4"/>
      <c r="AG124" s="5"/>
      <c r="AH124" s="52"/>
    </row>
    <row r="125" spans="2:34" ht="42" customHeight="1" outlineLevel="1" x14ac:dyDescent="0.25">
      <c r="B125" s="109">
        <v>9</v>
      </c>
      <c r="C125" s="110" t="s">
        <v>98</v>
      </c>
      <c r="D125" s="113">
        <f>((D124/0.05)*2)</f>
        <v>524.72500000000002</v>
      </c>
      <c r="E125" s="113">
        <v>467.20000000000005</v>
      </c>
      <c r="F125" s="113">
        <v>467.20000000000005</v>
      </c>
      <c r="G125" s="127" t="s">
        <v>97</v>
      </c>
      <c r="H125" s="72">
        <v>3</v>
      </c>
      <c r="I125" s="72">
        <v>3</v>
      </c>
      <c r="J125" s="73">
        <f>+(D125*H125)</f>
        <v>1574.1750000000002</v>
      </c>
      <c r="K125" s="73">
        <f>+(E125*H125)</f>
        <v>1401.6000000000001</v>
      </c>
      <c r="L125" s="88">
        <f>+(F125*I125)</f>
        <v>1401.6000000000001</v>
      </c>
      <c r="M125" s="50"/>
      <c r="N125" s="51"/>
      <c r="P125" s="89"/>
      <c r="Z125" s="52"/>
      <c r="AA125" s="89"/>
      <c r="AB125" s="89"/>
      <c r="AC125" s="1"/>
      <c r="AE125" s="3"/>
      <c r="AF125" s="4"/>
      <c r="AG125" s="5"/>
      <c r="AH125" s="52"/>
    </row>
    <row r="126" spans="2:34" ht="15" outlineLevel="1" x14ac:dyDescent="0.25">
      <c r="B126" s="109"/>
      <c r="C126" s="110"/>
      <c r="D126" s="113"/>
      <c r="E126" s="113"/>
      <c r="F126" s="113"/>
      <c r="G126" s="127"/>
      <c r="H126" s="72"/>
      <c r="I126" s="72"/>
      <c r="J126" s="73"/>
      <c r="K126" s="73"/>
      <c r="L126" s="88">
        <f t="shared" si="16"/>
        <v>0</v>
      </c>
      <c r="M126" s="50"/>
      <c r="N126" s="51"/>
      <c r="P126" s="89"/>
      <c r="Z126" s="52"/>
      <c r="AC126" s="1"/>
      <c r="AE126" s="3"/>
      <c r="AF126" s="4"/>
      <c r="AG126" s="5"/>
      <c r="AH126" s="52"/>
    </row>
    <row r="127" spans="2:34" ht="15" outlineLevel="1" x14ac:dyDescent="0.25">
      <c r="B127" s="68"/>
      <c r="C127" s="82" t="s">
        <v>99</v>
      </c>
      <c r="D127" s="113"/>
      <c r="E127" s="113"/>
      <c r="F127" s="113"/>
      <c r="G127" s="127"/>
      <c r="H127" s="72"/>
      <c r="I127" s="72"/>
      <c r="J127" s="73"/>
      <c r="K127" s="73"/>
      <c r="L127" s="88">
        <f t="shared" si="16"/>
        <v>0</v>
      </c>
      <c r="M127" s="50"/>
      <c r="N127" s="51"/>
      <c r="P127" s="89"/>
      <c r="U127" s="58"/>
      <c r="V127" s="83"/>
      <c r="Z127" s="52"/>
      <c r="AC127" s="58"/>
      <c r="AD127" s="83"/>
      <c r="AE127" s="3"/>
      <c r="AF127" s="4"/>
      <c r="AG127" s="5"/>
      <c r="AH127" s="52"/>
    </row>
    <row r="128" spans="2:34" ht="57" customHeight="1" outlineLevel="1" x14ac:dyDescent="0.25">
      <c r="B128" s="109">
        <v>10</v>
      </c>
      <c r="C128" s="110" t="s">
        <v>100</v>
      </c>
      <c r="D128" s="113">
        <f>([1]Quantaties!D10+[1]Quantaties!D11)*0.05</f>
        <v>44.150000000000006</v>
      </c>
      <c r="E128" s="113">
        <v>57.45</v>
      </c>
      <c r="F128" s="113">
        <v>57.45</v>
      </c>
      <c r="G128" s="127" t="s">
        <v>69</v>
      </c>
      <c r="H128" s="72">
        <v>750</v>
      </c>
      <c r="I128" s="72">
        <v>630</v>
      </c>
      <c r="J128" s="73">
        <f>+(D128*H128)</f>
        <v>33112.500000000007</v>
      </c>
      <c r="K128" s="73">
        <f>+(E128*H128)</f>
        <v>43087.5</v>
      </c>
      <c r="L128" s="88">
        <f>+(F128*I128)</f>
        <v>36193.5</v>
      </c>
      <c r="M128" s="50"/>
      <c r="N128" s="51"/>
      <c r="P128" s="89"/>
      <c r="Z128" s="52"/>
      <c r="AA128" s="89"/>
      <c r="AB128" s="89"/>
      <c r="AC128" s="1"/>
      <c r="AE128" s="3"/>
      <c r="AF128" s="4"/>
      <c r="AG128" s="5"/>
      <c r="AH128" s="52"/>
    </row>
    <row r="129" spans="2:34" ht="15" outlineLevel="1" x14ac:dyDescent="0.25">
      <c r="B129" s="109"/>
      <c r="C129" s="110"/>
      <c r="D129" s="113"/>
      <c r="E129" s="113"/>
      <c r="F129" s="113"/>
      <c r="G129" s="127"/>
      <c r="H129" s="72"/>
      <c r="I129" s="72"/>
      <c r="J129" s="73"/>
      <c r="K129" s="73"/>
      <c r="L129" s="88">
        <f t="shared" si="16"/>
        <v>0</v>
      </c>
      <c r="M129" s="50"/>
      <c r="N129" s="51"/>
      <c r="P129" s="89"/>
      <c r="Z129" s="52"/>
      <c r="AC129" s="1"/>
      <c r="AE129" s="3"/>
      <c r="AF129" s="4"/>
      <c r="AG129" s="5"/>
      <c r="AH129" s="52"/>
    </row>
    <row r="130" spans="2:34" ht="15" outlineLevel="1" x14ac:dyDescent="0.25">
      <c r="B130" s="68"/>
      <c r="C130" s="82" t="s">
        <v>101</v>
      </c>
      <c r="D130" s="113"/>
      <c r="E130" s="113"/>
      <c r="F130" s="113"/>
      <c r="G130" s="127"/>
      <c r="H130" s="72"/>
      <c r="I130" s="72"/>
      <c r="J130" s="73"/>
      <c r="K130" s="73"/>
      <c r="L130" s="88">
        <f t="shared" si="16"/>
        <v>0</v>
      </c>
      <c r="M130" s="50"/>
      <c r="N130" s="51"/>
      <c r="P130" s="89"/>
      <c r="U130" s="58"/>
      <c r="V130" s="83"/>
      <c r="Z130" s="52"/>
      <c r="AC130" s="58"/>
      <c r="AD130" s="83"/>
      <c r="AE130" s="3"/>
      <c r="AF130" s="4"/>
      <c r="AG130" s="5"/>
      <c r="AH130" s="52"/>
    </row>
    <row r="131" spans="2:34" ht="15" outlineLevel="1" x14ac:dyDescent="0.25">
      <c r="B131" s="109"/>
      <c r="C131" s="110"/>
      <c r="D131" s="113"/>
      <c r="E131" s="113"/>
      <c r="F131" s="113"/>
      <c r="G131" s="127"/>
      <c r="H131" s="72"/>
      <c r="I131" s="72"/>
      <c r="J131" s="73"/>
      <c r="K131" s="73"/>
      <c r="L131" s="88">
        <f t="shared" si="16"/>
        <v>0</v>
      </c>
      <c r="M131" s="50"/>
      <c r="N131" s="51"/>
      <c r="P131" s="89"/>
      <c r="Z131" s="52"/>
      <c r="AC131" s="1"/>
      <c r="AE131" s="3"/>
      <c r="AF131" s="4"/>
      <c r="AG131" s="5"/>
      <c r="AH131" s="52"/>
    </row>
    <row r="132" spans="2:34" ht="27" outlineLevel="1" x14ac:dyDescent="0.25">
      <c r="B132" s="109">
        <v>11</v>
      </c>
      <c r="C132" s="145" t="s">
        <v>102</v>
      </c>
      <c r="D132" s="143">
        <f>(D178)*3</f>
        <v>57</v>
      </c>
      <c r="E132" s="143">
        <v>48</v>
      </c>
      <c r="F132" s="143">
        <v>48</v>
      </c>
      <c r="G132" s="146" t="s">
        <v>103</v>
      </c>
      <c r="H132" s="72">
        <v>450</v>
      </c>
      <c r="I132" s="72">
        <v>325</v>
      </c>
      <c r="J132" s="73">
        <f>+(D132*H132)</f>
        <v>25650</v>
      </c>
      <c r="K132" s="73">
        <f>+(E132*H132)</f>
        <v>21600</v>
      </c>
      <c r="L132" s="88">
        <f>+(F132*I132)</f>
        <v>15600</v>
      </c>
      <c r="M132" s="50"/>
      <c r="N132" s="51"/>
      <c r="P132" s="89"/>
      <c r="V132" s="147"/>
      <c r="W132" s="144"/>
      <c r="X132" s="148"/>
      <c r="Z132" s="52"/>
      <c r="AA132" s="89"/>
      <c r="AB132" s="89"/>
      <c r="AC132" s="1"/>
      <c r="AD132" s="147"/>
      <c r="AE132" s="144"/>
      <c r="AF132" s="148"/>
      <c r="AG132" s="5"/>
      <c r="AH132" s="52"/>
    </row>
    <row r="133" spans="2:34" ht="15" outlineLevel="1" x14ac:dyDescent="0.25">
      <c r="B133" s="109"/>
      <c r="C133" s="110"/>
      <c r="D133" s="113"/>
      <c r="E133" s="113"/>
      <c r="F133" s="113"/>
      <c r="G133" s="127"/>
      <c r="H133" s="72"/>
      <c r="I133" s="72"/>
      <c r="J133" s="73"/>
      <c r="K133" s="73"/>
      <c r="L133" s="88"/>
      <c r="M133" s="50"/>
      <c r="N133" s="51"/>
      <c r="P133" s="89"/>
      <c r="Z133" s="52"/>
      <c r="AC133" s="1"/>
      <c r="AE133" s="3"/>
      <c r="AF133" s="4"/>
      <c r="AG133" s="5"/>
      <c r="AH133" s="52"/>
    </row>
    <row r="134" spans="2:34" ht="15.75" outlineLevel="1" thickBot="1" x14ac:dyDescent="0.3">
      <c r="B134" s="109"/>
      <c r="C134" s="110"/>
      <c r="D134" s="113"/>
      <c r="E134" s="113"/>
      <c r="F134" s="113"/>
      <c r="G134" s="127"/>
      <c r="H134" s="72"/>
      <c r="I134" s="72"/>
      <c r="J134" s="73"/>
      <c r="K134" s="73"/>
      <c r="L134" s="88"/>
      <c r="M134" s="50"/>
      <c r="N134" s="51"/>
      <c r="P134" s="89"/>
      <c r="Z134" s="52"/>
      <c r="AC134" s="1"/>
      <c r="AE134" s="3"/>
      <c r="AF134" s="4"/>
      <c r="AG134" s="5"/>
      <c r="AH134" s="52"/>
    </row>
    <row r="135" spans="2:34" ht="15.75" thickBot="1" x14ac:dyDescent="0.3">
      <c r="B135" s="109"/>
      <c r="C135" s="110"/>
      <c r="D135" s="113"/>
      <c r="E135" s="114"/>
      <c r="F135" s="114"/>
      <c r="G135" s="307" t="s">
        <v>104</v>
      </c>
      <c r="H135" s="302"/>
      <c r="I135" s="115"/>
      <c r="J135" s="116">
        <f>+SUM(J103:J132)</f>
        <v>347336.92812500003</v>
      </c>
      <c r="K135" s="116">
        <f>+SUM(K103:K132)</f>
        <v>321538.7</v>
      </c>
      <c r="L135" s="117">
        <f>SUM(L107:L134)</f>
        <v>264343.95</v>
      </c>
      <c r="M135" s="50"/>
      <c r="N135" s="51"/>
      <c r="P135" s="89"/>
      <c r="X135" s="296"/>
      <c r="Y135" s="296"/>
      <c r="Z135" s="119"/>
      <c r="AA135" s="119"/>
      <c r="AB135" s="119"/>
      <c r="AC135" s="1"/>
      <c r="AE135" s="3"/>
      <c r="AF135" s="296"/>
      <c r="AG135" s="296"/>
      <c r="AH135" s="119"/>
    </row>
    <row r="136" spans="2:34" ht="15.75" thickBot="1" x14ac:dyDescent="0.3">
      <c r="B136" s="120"/>
      <c r="C136" s="121"/>
      <c r="D136" s="122"/>
      <c r="E136" s="123"/>
      <c r="F136" s="123"/>
      <c r="G136" s="303" t="s">
        <v>66</v>
      </c>
      <c r="H136" s="304"/>
      <c r="I136" s="124"/>
      <c r="J136" s="124"/>
      <c r="K136" s="124"/>
      <c r="L136" s="125">
        <f>L135</f>
        <v>264343.95</v>
      </c>
      <c r="M136" s="50"/>
      <c r="N136" s="51"/>
      <c r="P136" s="89"/>
      <c r="X136" s="296"/>
      <c r="Y136" s="296"/>
      <c r="Z136" s="119"/>
      <c r="AA136" s="119"/>
      <c r="AB136" s="119"/>
      <c r="AC136" s="1"/>
      <c r="AE136" s="3"/>
      <c r="AF136" s="296"/>
      <c r="AG136" s="296"/>
      <c r="AH136" s="119"/>
    </row>
    <row r="137" spans="2:34" ht="15" hidden="1" x14ac:dyDescent="0.25">
      <c r="B137" s="109"/>
      <c r="C137" s="126"/>
      <c r="D137" s="113"/>
      <c r="E137" s="113"/>
      <c r="F137" s="113"/>
      <c r="G137" s="127"/>
      <c r="H137" s="113"/>
      <c r="I137" s="113"/>
      <c r="J137" s="128"/>
      <c r="K137" s="128"/>
      <c r="L137" s="88"/>
      <c r="M137" s="50"/>
      <c r="N137" s="51"/>
      <c r="P137" s="89"/>
      <c r="V137" s="118"/>
      <c r="Y137" s="3"/>
      <c r="Z137" s="52"/>
      <c r="AC137" s="1"/>
      <c r="AD137" s="118"/>
      <c r="AE137" s="3"/>
      <c r="AF137" s="4"/>
      <c r="AG137" s="3"/>
      <c r="AH137" s="52"/>
    </row>
    <row r="138" spans="2:34" ht="15" hidden="1" x14ac:dyDescent="0.25">
      <c r="B138" s="109"/>
      <c r="C138" s="126"/>
      <c r="D138" s="113"/>
      <c r="E138" s="113"/>
      <c r="F138" s="113"/>
      <c r="G138" s="127"/>
      <c r="H138" s="113"/>
      <c r="I138" s="113"/>
      <c r="J138" s="128"/>
      <c r="K138" s="128"/>
      <c r="L138" s="88"/>
      <c r="M138" s="50"/>
      <c r="N138" s="51"/>
      <c r="P138" s="89"/>
      <c r="V138" s="118"/>
      <c r="Y138" s="3"/>
      <c r="Z138" s="52"/>
      <c r="AC138" s="1"/>
      <c r="AD138" s="118"/>
      <c r="AE138" s="3"/>
      <c r="AF138" s="4"/>
      <c r="AG138" s="3"/>
      <c r="AH138" s="52"/>
    </row>
    <row r="139" spans="2:34" ht="15" hidden="1" x14ac:dyDescent="0.25">
      <c r="B139" s="109"/>
      <c r="C139" s="110"/>
      <c r="D139" s="113"/>
      <c r="E139" s="113"/>
      <c r="F139" s="113"/>
      <c r="G139" s="127"/>
      <c r="H139" s="113"/>
      <c r="I139" s="113"/>
      <c r="J139" s="128"/>
      <c r="K139" s="128"/>
      <c r="L139" s="88"/>
      <c r="M139" s="50"/>
      <c r="N139" s="51"/>
      <c r="P139" s="89"/>
      <c r="Y139" s="3"/>
      <c r="Z139" s="52"/>
      <c r="AC139" s="1"/>
      <c r="AE139" s="3"/>
      <c r="AF139" s="4"/>
      <c r="AG139" s="3"/>
      <c r="AH139" s="52"/>
    </row>
    <row r="140" spans="2:34" ht="15.75" thickBot="1" x14ac:dyDescent="0.3">
      <c r="B140" s="109"/>
      <c r="C140" s="110"/>
      <c r="D140" s="113"/>
      <c r="E140" s="113"/>
      <c r="F140" s="113"/>
      <c r="G140" s="127"/>
      <c r="H140" s="113"/>
      <c r="I140" s="113"/>
      <c r="J140" s="128"/>
      <c r="K140" s="128"/>
      <c r="L140" s="88"/>
      <c r="M140" s="50"/>
      <c r="N140" s="51"/>
      <c r="P140" s="89"/>
      <c r="Y140" s="3"/>
      <c r="Z140" s="52"/>
      <c r="AC140" s="1"/>
      <c r="AE140" s="3"/>
      <c r="AF140" s="4"/>
      <c r="AG140" s="3"/>
      <c r="AH140" s="52"/>
    </row>
    <row r="141" spans="2:34" ht="30.75" thickBot="1" x14ac:dyDescent="0.3">
      <c r="B141" s="109"/>
      <c r="C141" s="110"/>
      <c r="D141" s="55" t="s">
        <v>11</v>
      </c>
      <c r="E141" s="55" t="s">
        <v>213</v>
      </c>
      <c r="F141" s="55" t="s">
        <v>12</v>
      </c>
      <c r="G141" s="54"/>
      <c r="H141" s="54" t="s">
        <v>28</v>
      </c>
      <c r="I141" s="54" t="s">
        <v>29</v>
      </c>
      <c r="J141" s="55" t="s">
        <v>11</v>
      </c>
      <c r="K141" s="55" t="s">
        <v>213</v>
      </c>
      <c r="L141" s="56" t="s">
        <v>12</v>
      </c>
      <c r="M141" s="50"/>
      <c r="N141" s="51"/>
      <c r="P141" s="89"/>
      <c r="Y141" s="3"/>
      <c r="Z141" s="52"/>
      <c r="AC141" s="1"/>
      <c r="AE141" s="3"/>
      <c r="AF141" s="4"/>
      <c r="AG141" s="3"/>
      <c r="AH141" s="52"/>
    </row>
    <row r="142" spans="2:34" ht="15" x14ac:dyDescent="0.25">
      <c r="B142" s="130" t="s">
        <v>30</v>
      </c>
      <c r="C142" s="131" t="s">
        <v>31</v>
      </c>
      <c r="D142" s="64" t="s">
        <v>32</v>
      </c>
      <c r="E142" s="64" t="s">
        <v>32</v>
      </c>
      <c r="F142" s="64" t="s">
        <v>32</v>
      </c>
      <c r="G142" s="63" t="s">
        <v>33</v>
      </c>
      <c r="H142" s="65" t="s">
        <v>34</v>
      </c>
      <c r="I142" s="65" t="s">
        <v>34</v>
      </c>
      <c r="J142" s="66" t="s">
        <v>14</v>
      </c>
      <c r="K142" s="66" t="s">
        <v>14</v>
      </c>
      <c r="L142" s="67" t="s">
        <v>14</v>
      </c>
      <c r="M142" s="50"/>
      <c r="N142" s="51"/>
      <c r="P142" s="89"/>
      <c r="U142" s="58"/>
      <c r="V142" s="47"/>
      <c r="W142" s="13"/>
      <c r="X142" s="47"/>
      <c r="Y142" s="10"/>
      <c r="Z142" s="61"/>
      <c r="AC142" s="58"/>
      <c r="AD142" s="47"/>
      <c r="AE142" s="13"/>
      <c r="AF142" s="47"/>
      <c r="AG142" s="10"/>
      <c r="AH142" s="61"/>
    </row>
    <row r="143" spans="2:34" ht="15" x14ac:dyDescent="0.25">
      <c r="B143" s="68"/>
      <c r="C143" s="132"/>
      <c r="D143" s="133"/>
      <c r="E143" s="133"/>
      <c r="F143" s="133"/>
      <c r="G143" s="132"/>
      <c r="H143" s="134"/>
      <c r="I143" s="134"/>
      <c r="J143" s="135"/>
      <c r="K143" s="135"/>
      <c r="L143" s="74"/>
      <c r="M143" s="50"/>
      <c r="N143" s="51"/>
      <c r="P143" s="89"/>
      <c r="U143" s="58"/>
      <c r="V143" s="47"/>
      <c r="W143" s="13"/>
      <c r="X143" s="47"/>
      <c r="Y143" s="10"/>
      <c r="Z143" s="61"/>
      <c r="AC143" s="58"/>
      <c r="AD143" s="47"/>
      <c r="AE143" s="13"/>
      <c r="AF143" s="47"/>
      <c r="AG143" s="10"/>
      <c r="AH143" s="61"/>
    </row>
    <row r="144" spans="2:34" ht="15" x14ac:dyDescent="0.25">
      <c r="B144" s="68">
        <v>4</v>
      </c>
      <c r="C144" s="161" t="s">
        <v>18</v>
      </c>
      <c r="D144" s="133"/>
      <c r="E144" s="133"/>
      <c r="F144" s="133"/>
      <c r="G144" s="132"/>
      <c r="H144" s="72"/>
      <c r="I144" s="72"/>
      <c r="J144" s="73"/>
      <c r="K144" s="73"/>
      <c r="L144" s="136"/>
      <c r="M144" s="50"/>
      <c r="N144" s="51"/>
      <c r="P144" s="89"/>
      <c r="U144" s="58"/>
      <c r="V144" s="162"/>
      <c r="W144" s="13"/>
      <c r="X144" s="47"/>
      <c r="Z144" s="61"/>
      <c r="AC144" s="58"/>
      <c r="AD144" s="162"/>
      <c r="AE144" s="13"/>
      <c r="AF144" s="47"/>
      <c r="AG144" s="5"/>
      <c r="AH144" s="61"/>
    </row>
    <row r="145" spans="2:34" ht="15" outlineLevel="1" x14ac:dyDescent="0.25">
      <c r="B145" s="109"/>
      <c r="C145" s="163"/>
      <c r="D145" s="113"/>
      <c r="E145" s="113"/>
      <c r="F145" s="113"/>
      <c r="G145" s="127"/>
      <c r="H145" s="72"/>
      <c r="I145" s="72"/>
      <c r="J145" s="73"/>
      <c r="K145" s="73"/>
      <c r="L145" s="88"/>
      <c r="M145" s="50"/>
      <c r="N145" s="51"/>
      <c r="P145" s="89"/>
      <c r="V145" s="164"/>
      <c r="Z145" s="52"/>
      <c r="AC145" s="1"/>
      <c r="AD145" s="164"/>
      <c r="AE145" s="3"/>
      <c r="AF145" s="4"/>
      <c r="AG145" s="5"/>
      <c r="AH145" s="52"/>
    </row>
    <row r="146" spans="2:34" ht="27" outlineLevel="1" x14ac:dyDescent="0.25">
      <c r="B146" s="109" t="s">
        <v>105</v>
      </c>
      <c r="C146" s="152" t="s">
        <v>106</v>
      </c>
      <c r="D146" s="113"/>
      <c r="E146" s="113"/>
      <c r="F146" s="113"/>
      <c r="G146" s="127"/>
      <c r="H146" s="72"/>
      <c r="I146" s="72"/>
      <c r="J146" s="73"/>
      <c r="K146" s="73"/>
      <c r="L146" s="88"/>
      <c r="M146" s="50"/>
      <c r="N146" s="51"/>
      <c r="P146" s="89"/>
      <c r="V146" s="154"/>
      <c r="Z146" s="52"/>
      <c r="AC146" s="1"/>
      <c r="AD146" s="154"/>
      <c r="AE146" s="3"/>
      <c r="AF146" s="4"/>
      <c r="AG146" s="5"/>
      <c r="AH146" s="52"/>
    </row>
    <row r="147" spans="2:34" ht="15" outlineLevel="1" x14ac:dyDescent="0.25">
      <c r="B147" s="109"/>
      <c r="C147" s="152"/>
      <c r="D147" s="113"/>
      <c r="E147" s="113"/>
      <c r="F147" s="113"/>
      <c r="G147" s="127"/>
      <c r="H147" s="72"/>
      <c r="I147" s="72"/>
      <c r="J147" s="73"/>
      <c r="K147" s="73"/>
      <c r="L147" s="88"/>
      <c r="M147" s="50"/>
      <c r="N147" s="51"/>
      <c r="P147" s="89"/>
      <c r="V147" s="154"/>
      <c r="Z147" s="52"/>
      <c r="AC147" s="1"/>
      <c r="AD147" s="154"/>
      <c r="AE147" s="3"/>
      <c r="AF147" s="4"/>
      <c r="AG147" s="5"/>
      <c r="AH147" s="52"/>
    </row>
    <row r="148" spans="2:34" ht="15" outlineLevel="1" x14ac:dyDescent="0.25">
      <c r="B148" s="109"/>
      <c r="C148" s="82" t="s">
        <v>107</v>
      </c>
      <c r="D148" s="113"/>
      <c r="E148" s="113"/>
      <c r="F148" s="113"/>
      <c r="G148" s="127"/>
      <c r="H148" s="72"/>
      <c r="I148" s="72"/>
      <c r="J148" s="73"/>
      <c r="K148" s="73"/>
      <c r="L148" s="88"/>
      <c r="M148" s="50"/>
      <c r="N148" s="51"/>
      <c r="P148" s="89"/>
      <c r="V148" s="83"/>
      <c r="Z148" s="52"/>
      <c r="AC148" s="1"/>
      <c r="AD148" s="83"/>
      <c r="AE148" s="3"/>
      <c r="AF148" s="4"/>
      <c r="AG148" s="5"/>
      <c r="AH148" s="52"/>
    </row>
    <row r="149" spans="2:34" s="170" customFormat="1" outlineLevel="1" x14ac:dyDescent="0.25">
      <c r="B149" s="109">
        <v>1</v>
      </c>
      <c r="C149" s="165" t="s">
        <v>108</v>
      </c>
      <c r="D149" s="113">
        <f>D173+D174</f>
        <v>7000</v>
      </c>
      <c r="E149" s="340">
        <v>7000</v>
      </c>
      <c r="F149" s="166"/>
      <c r="G149" s="127" t="s">
        <v>109</v>
      </c>
      <c r="H149" s="72">
        <v>6</v>
      </c>
      <c r="I149" s="167"/>
      <c r="J149" s="73">
        <f>+(D149*H149)</f>
        <v>42000</v>
      </c>
      <c r="K149" s="73">
        <v>125000</v>
      </c>
      <c r="L149" s="168"/>
      <c r="M149" s="338" t="s">
        <v>216</v>
      </c>
      <c r="N149" s="339"/>
      <c r="O149" s="339"/>
      <c r="P149" s="339"/>
      <c r="U149" s="1"/>
      <c r="V149" s="171"/>
      <c r="W149" s="3"/>
      <c r="X149" s="4"/>
      <c r="Y149" s="5"/>
      <c r="Z149" s="52"/>
      <c r="AA149" s="89"/>
      <c r="AB149" s="89"/>
      <c r="AC149" s="1"/>
      <c r="AD149" s="171"/>
      <c r="AE149" s="3"/>
      <c r="AF149" s="4"/>
      <c r="AG149" s="5"/>
      <c r="AH149" s="52"/>
    </row>
    <row r="150" spans="2:34" s="170" customFormat="1" outlineLevel="1" x14ac:dyDescent="0.25">
      <c r="B150" s="109"/>
      <c r="C150" s="165" t="s">
        <v>110</v>
      </c>
      <c r="D150" s="113">
        <f>D176</f>
        <v>1000</v>
      </c>
      <c r="E150" s="340">
        <v>1000</v>
      </c>
      <c r="F150" s="166"/>
      <c r="G150" s="127" t="s">
        <v>109</v>
      </c>
      <c r="H150" s="72">
        <v>3</v>
      </c>
      <c r="I150" s="167"/>
      <c r="J150" s="73">
        <f t="shared" ref="J150:J151" si="17">+(D150*H150)</f>
        <v>3000</v>
      </c>
      <c r="K150" s="73">
        <f t="shared" ref="K150:L151" si="18">+(E150*H150)</f>
        <v>3000</v>
      </c>
      <c r="L150" s="168">
        <f t="shared" si="18"/>
        <v>0</v>
      </c>
      <c r="M150" s="338"/>
      <c r="N150" s="339"/>
      <c r="O150" s="339"/>
      <c r="P150" s="339"/>
      <c r="U150" s="1"/>
      <c r="V150" s="171"/>
      <c r="W150" s="3"/>
      <c r="X150" s="4"/>
      <c r="Y150" s="5"/>
      <c r="Z150" s="52"/>
      <c r="AA150" s="89"/>
      <c r="AB150" s="89"/>
      <c r="AC150" s="1"/>
      <c r="AD150" s="171"/>
      <c r="AE150" s="3"/>
      <c r="AF150" s="4"/>
      <c r="AG150" s="5"/>
      <c r="AH150" s="52"/>
    </row>
    <row r="151" spans="2:34" s="170" customFormat="1" outlineLevel="1" x14ac:dyDescent="0.25">
      <c r="B151" s="109"/>
      <c r="C151" s="165" t="s">
        <v>111</v>
      </c>
      <c r="D151" s="113">
        <f>D181</f>
        <v>1420</v>
      </c>
      <c r="E151" s="113">
        <v>1420</v>
      </c>
      <c r="F151" s="166"/>
      <c r="G151" s="127" t="s">
        <v>112</v>
      </c>
      <c r="H151" s="72">
        <v>10</v>
      </c>
      <c r="I151" s="167"/>
      <c r="J151" s="73">
        <f t="shared" si="17"/>
        <v>14200</v>
      </c>
      <c r="K151" s="73">
        <f t="shared" si="18"/>
        <v>14200</v>
      </c>
      <c r="L151" s="168">
        <f t="shared" si="18"/>
        <v>0</v>
      </c>
      <c r="M151" s="338"/>
      <c r="N151" s="339"/>
      <c r="O151" s="339"/>
      <c r="P151" s="339"/>
      <c r="U151" s="1"/>
      <c r="V151" s="171"/>
      <c r="W151" s="3"/>
      <c r="X151" s="4"/>
      <c r="Y151" s="5"/>
      <c r="Z151" s="52"/>
      <c r="AA151" s="89"/>
      <c r="AB151" s="89"/>
      <c r="AC151" s="1"/>
      <c r="AD151" s="171"/>
      <c r="AE151" s="3"/>
      <c r="AF151" s="4"/>
      <c r="AG151" s="5"/>
      <c r="AH151" s="52"/>
    </row>
    <row r="152" spans="2:34" s="170" customFormat="1" ht="15" outlineLevel="1" x14ac:dyDescent="0.25">
      <c r="B152" s="109"/>
      <c r="C152" s="82" t="s">
        <v>113</v>
      </c>
      <c r="D152" s="113"/>
      <c r="E152" s="113"/>
      <c r="F152" s="113"/>
      <c r="G152" s="127"/>
      <c r="H152" s="72"/>
      <c r="I152" s="72"/>
      <c r="J152" s="73"/>
      <c r="K152" s="73"/>
      <c r="L152" s="88">
        <f t="shared" ref="L152:L158" si="19">D152*H152</f>
        <v>0</v>
      </c>
      <c r="M152" s="50"/>
      <c r="N152" s="51"/>
      <c r="O152" s="169"/>
      <c r="P152" s="89"/>
      <c r="U152" s="1"/>
      <c r="V152" s="83"/>
      <c r="W152" s="3"/>
      <c r="X152" s="4"/>
      <c r="Y152" s="5"/>
      <c r="Z152" s="52"/>
      <c r="AC152" s="1"/>
      <c r="AD152" s="83"/>
      <c r="AE152" s="3"/>
      <c r="AF152" s="4"/>
      <c r="AG152" s="5"/>
      <c r="AH152" s="52"/>
    </row>
    <row r="153" spans="2:34" s="170" customFormat="1" ht="40.5" outlineLevel="1" x14ac:dyDescent="0.25">
      <c r="B153" s="109" t="s">
        <v>105</v>
      </c>
      <c r="C153" s="110" t="s">
        <v>114</v>
      </c>
      <c r="D153" s="113"/>
      <c r="E153" s="113"/>
      <c r="F153" s="113"/>
      <c r="G153" s="127"/>
      <c r="H153" s="72"/>
      <c r="I153" s="72"/>
      <c r="J153" s="73"/>
      <c r="K153" s="73"/>
      <c r="L153" s="88">
        <f t="shared" si="19"/>
        <v>0</v>
      </c>
      <c r="M153" s="50"/>
      <c r="N153" s="51"/>
      <c r="O153" s="169"/>
      <c r="P153" s="89"/>
      <c r="U153" s="1"/>
      <c r="V153" s="2"/>
      <c r="W153" s="3"/>
      <c r="X153" s="4"/>
      <c r="Y153" s="5"/>
      <c r="Z153" s="52"/>
      <c r="AA153" s="89"/>
      <c r="AB153" s="89"/>
      <c r="AC153" s="1"/>
      <c r="AD153" s="2"/>
      <c r="AE153" s="3"/>
      <c r="AF153" s="4"/>
      <c r="AG153" s="5"/>
      <c r="AH153" s="52"/>
    </row>
    <row r="154" spans="2:34" s="170" customFormat="1" ht="15" outlineLevel="1" x14ac:dyDescent="0.25">
      <c r="B154" s="109">
        <v>2</v>
      </c>
      <c r="C154" s="165" t="s">
        <v>115</v>
      </c>
      <c r="D154" s="113">
        <f>D178</f>
        <v>19</v>
      </c>
      <c r="E154" s="113">
        <v>16</v>
      </c>
      <c r="F154" s="113">
        <v>16</v>
      </c>
      <c r="G154" s="127" t="s">
        <v>109</v>
      </c>
      <c r="H154" s="72">
        <v>185</v>
      </c>
      <c r="I154" s="72">
        <v>185</v>
      </c>
      <c r="J154" s="73">
        <f>+(D154*H154)</f>
        <v>3515</v>
      </c>
      <c r="K154" s="73">
        <f>+(E154*H154)</f>
        <v>2960</v>
      </c>
      <c r="L154" s="88">
        <f>+(F154*I154)</f>
        <v>2960</v>
      </c>
      <c r="M154" s="50"/>
      <c r="N154" s="51"/>
      <c r="O154" s="169"/>
      <c r="P154" s="89"/>
      <c r="Q154" s="2"/>
      <c r="U154" s="1"/>
      <c r="V154" s="171"/>
      <c r="W154" s="3"/>
      <c r="X154" s="4"/>
      <c r="Y154" s="5"/>
      <c r="Z154" s="52"/>
      <c r="AA154" s="89"/>
      <c r="AB154" s="89"/>
      <c r="AC154" s="1"/>
      <c r="AD154" s="171"/>
      <c r="AE154" s="3"/>
      <c r="AF154" s="4"/>
      <c r="AG154" s="5"/>
      <c r="AH154" s="52"/>
    </row>
    <row r="155" spans="2:34" s="170" customFormat="1" ht="15" outlineLevel="1" x14ac:dyDescent="0.25">
      <c r="B155" s="109"/>
      <c r="C155" s="165"/>
      <c r="D155" s="113"/>
      <c r="E155" s="113"/>
      <c r="F155" s="113"/>
      <c r="G155" s="127"/>
      <c r="H155" s="72"/>
      <c r="I155" s="72"/>
      <c r="J155" s="73"/>
      <c r="K155" s="73"/>
      <c r="L155" s="88">
        <f t="shared" si="19"/>
        <v>0</v>
      </c>
      <c r="M155" s="50"/>
      <c r="N155" s="51"/>
      <c r="O155" s="169"/>
      <c r="P155" s="89"/>
      <c r="U155" s="1"/>
      <c r="V155" s="171"/>
      <c r="W155" s="3"/>
      <c r="X155" s="4"/>
      <c r="Y155" s="5"/>
      <c r="Z155" s="52"/>
      <c r="AC155" s="1"/>
      <c r="AD155" s="171"/>
      <c r="AE155" s="3"/>
      <c r="AF155" s="4"/>
      <c r="AG155" s="5"/>
      <c r="AH155" s="52"/>
    </row>
    <row r="156" spans="2:34" ht="15" outlineLevel="1" x14ac:dyDescent="0.25">
      <c r="B156" s="109"/>
      <c r="C156" s="82" t="s">
        <v>116</v>
      </c>
      <c r="D156" s="113"/>
      <c r="E156" s="113"/>
      <c r="F156" s="113"/>
      <c r="G156" s="127"/>
      <c r="H156" s="72"/>
      <c r="I156" s="72"/>
      <c r="J156" s="73"/>
      <c r="K156" s="73"/>
      <c r="L156" s="88">
        <f t="shared" si="19"/>
        <v>0</v>
      </c>
      <c r="M156" s="50"/>
      <c r="N156" s="51"/>
      <c r="P156" s="89"/>
      <c r="V156" s="83"/>
      <c r="Z156" s="52"/>
      <c r="AA156" s="170"/>
      <c r="AC156" s="1"/>
      <c r="AD156" s="83"/>
      <c r="AE156" s="3"/>
      <c r="AF156" s="4"/>
      <c r="AG156" s="5"/>
      <c r="AH156" s="52"/>
    </row>
    <row r="157" spans="2:34" ht="54" outlineLevel="1" x14ac:dyDescent="0.25">
      <c r="B157" s="109">
        <v>3</v>
      </c>
      <c r="C157" s="156" t="s">
        <v>117</v>
      </c>
      <c r="D157" s="113">
        <f>D178</f>
        <v>19</v>
      </c>
      <c r="E157" s="113">
        <v>16</v>
      </c>
      <c r="F157" s="113">
        <v>16</v>
      </c>
      <c r="G157" s="127" t="s">
        <v>109</v>
      </c>
      <c r="H157" s="72">
        <v>485</v>
      </c>
      <c r="I157" s="72">
        <v>485</v>
      </c>
      <c r="J157" s="73">
        <f>+(D157*H157)</f>
        <v>9215</v>
      </c>
      <c r="K157" s="73">
        <f>+(E157*H157)</f>
        <v>7760</v>
      </c>
      <c r="L157" s="88">
        <f>+(F157*I157)</f>
        <v>7760</v>
      </c>
      <c r="M157" s="50"/>
      <c r="N157" s="51"/>
      <c r="O157" s="172"/>
      <c r="P157" s="173"/>
      <c r="V157" s="158"/>
      <c r="Z157" s="52"/>
      <c r="AA157" s="89"/>
      <c r="AB157" s="89"/>
      <c r="AC157" s="1"/>
      <c r="AD157" s="158"/>
      <c r="AE157" s="3"/>
      <c r="AF157" s="4"/>
      <c r="AG157" s="5"/>
      <c r="AH157" s="52"/>
    </row>
    <row r="158" spans="2:34" ht="15" outlineLevel="1" x14ac:dyDescent="0.25">
      <c r="B158" s="109"/>
      <c r="C158" s="156"/>
      <c r="D158" s="113"/>
      <c r="E158" s="113"/>
      <c r="F158" s="113"/>
      <c r="G158" s="127"/>
      <c r="H158" s="72"/>
      <c r="I158" s="72"/>
      <c r="J158" s="73"/>
      <c r="K158" s="73"/>
      <c r="L158" s="88">
        <f t="shared" si="19"/>
        <v>0</v>
      </c>
      <c r="M158" s="50"/>
      <c r="N158" s="51"/>
      <c r="O158" s="172"/>
      <c r="P158" s="174"/>
      <c r="V158" s="158"/>
      <c r="Z158" s="52"/>
      <c r="AC158" s="1"/>
      <c r="AD158" s="158"/>
      <c r="AE158" s="3"/>
      <c r="AF158" s="4"/>
      <c r="AG158" s="5"/>
      <c r="AH158" s="52"/>
    </row>
    <row r="159" spans="2:34" ht="15.75" outlineLevel="1" thickBot="1" x14ac:dyDescent="0.3">
      <c r="B159" s="109"/>
      <c r="C159" s="156"/>
      <c r="D159" s="113"/>
      <c r="E159" s="114"/>
      <c r="F159" s="114"/>
      <c r="G159" s="175"/>
      <c r="H159" s="73"/>
      <c r="I159" s="73"/>
      <c r="J159" s="5"/>
      <c r="K159" s="5"/>
      <c r="L159" s="176"/>
      <c r="M159" s="50"/>
      <c r="N159" s="51"/>
      <c r="O159" s="172"/>
      <c r="P159" s="174"/>
      <c r="V159" s="158"/>
      <c r="Z159" s="52"/>
      <c r="AC159" s="1"/>
      <c r="AD159" s="158"/>
      <c r="AE159" s="3"/>
      <c r="AF159" s="4"/>
      <c r="AG159" s="5"/>
      <c r="AH159" s="52"/>
    </row>
    <row r="160" spans="2:34" ht="15.75" thickBot="1" x14ac:dyDescent="0.3">
      <c r="B160" s="109"/>
      <c r="C160" s="110"/>
      <c r="D160" s="113"/>
      <c r="E160" s="114"/>
      <c r="F160" s="114"/>
      <c r="G160" s="307" t="s">
        <v>118</v>
      </c>
      <c r="H160" s="302"/>
      <c r="I160" s="115"/>
      <c r="J160" s="116">
        <f>+SUM(J145:J157)</f>
        <v>71930</v>
      </c>
      <c r="K160" s="116">
        <f>+SUM(K145:K157)</f>
        <v>152920</v>
      </c>
      <c r="L160" s="117">
        <f>SUM(L149:L159)</f>
        <v>10720</v>
      </c>
      <c r="M160" s="50"/>
      <c r="N160" s="51"/>
      <c r="O160" s="172"/>
      <c r="P160" s="174"/>
      <c r="X160" s="296"/>
      <c r="Y160" s="296"/>
      <c r="Z160" s="119"/>
      <c r="AA160" s="119"/>
      <c r="AB160" s="119"/>
      <c r="AC160" s="1"/>
      <c r="AE160" s="3"/>
      <c r="AF160" s="296"/>
      <c r="AG160" s="296"/>
      <c r="AH160" s="119"/>
    </row>
    <row r="161" spans="2:34" ht="15.75" thickBot="1" x14ac:dyDescent="0.3">
      <c r="B161" s="120"/>
      <c r="C161" s="121"/>
      <c r="D161" s="122"/>
      <c r="E161" s="123"/>
      <c r="F161" s="123"/>
      <c r="G161" s="303" t="s">
        <v>66</v>
      </c>
      <c r="H161" s="304"/>
      <c r="I161" s="124"/>
      <c r="J161" s="124"/>
      <c r="K161" s="124"/>
      <c r="L161" s="125">
        <f>L160</f>
        <v>10720</v>
      </c>
      <c r="M161" s="50"/>
      <c r="N161" s="51"/>
      <c r="P161" s="89"/>
      <c r="X161" s="296"/>
      <c r="Y161" s="296"/>
      <c r="Z161" s="119"/>
      <c r="AA161" s="119"/>
      <c r="AB161" s="119"/>
      <c r="AC161" s="1"/>
      <c r="AE161" s="3"/>
      <c r="AF161" s="296"/>
      <c r="AG161" s="296"/>
      <c r="AH161" s="119"/>
    </row>
    <row r="162" spans="2:34" ht="15" x14ac:dyDescent="0.25">
      <c r="B162" s="109"/>
      <c r="C162" s="126"/>
      <c r="D162" s="113"/>
      <c r="E162" s="113"/>
      <c r="F162" s="113"/>
      <c r="G162" s="127"/>
      <c r="H162" s="113"/>
      <c r="I162" s="113"/>
      <c r="J162" s="128"/>
      <c r="K162" s="128"/>
      <c r="L162" s="88"/>
      <c r="M162" s="50"/>
      <c r="N162" s="51"/>
      <c r="P162" s="89"/>
      <c r="V162" s="118"/>
      <c r="Y162" s="3"/>
      <c r="Z162" s="52"/>
      <c r="AC162" s="1"/>
      <c r="AD162" s="118"/>
      <c r="AE162" s="3"/>
      <c r="AF162" s="4"/>
      <c r="AG162" s="3"/>
      <c r="AH162" s="52"/>
    </row>
    <row r="163" spans="2:34" ht="15.75" thickBot="1" x14ac:dyDescent="0.3">
      <c r="B163" s="109"/>
      <c r="C163" s="126"/>
      <c r="D163" s="113"/>
      <c r="E163" s="113"/>
      <c r="F163" s="113"/>
      <c r="G163" s="127"/>
      <c r="H163" s="113"/>
      <c r="I163" s="113"/>
      <c r="J163" s="128"/>
      <c r="K163" s="128"/>
      <c r="L163" s="88"/>
      <c r="M163" s="50"/>
      <c r="N163" s="51"/>
      <c r="P163" s="89"/>
      <c r="V163" s="118"/>
      <c r="Y163" s="3"/>
      <c r="Z163" s="52"/>
      <c r="AC163" s="1"/>
      <c r="AD163" s="118"/>
      <c r="AE163" s="3"/>
      <c r="AF163" s="4"/>
      <c r="AG163" s="3"/>
      <c r="AH163" s="52"/>
    </row>
    <row r="164" spans="2:34" ht="30.75" thickBot="1" x14ac:dyDescent="0.3">
      <c r="B164" s="109"/>
      <c r="C164" s="126"/>
      <c r="D164" s="55" t="s">
        <v>11</v>
      </c>
      <c r="E164" s="55" t="s">
        <v>213</v>
      </c>
      <c r="F164" s="55" t="s">
        <v>12</v>
      </c>
      <c r="G164" s="54"/>
      <c r="H164" s="54" t="s">
        <v>28</v>
      </c>
      <c r="I164" s="54" t="s">
        <v>29</v>
      </c>
      <c r="J164" s="55" t="s">
        <v>11</v>
      </c>
      <c r="K164" s="55" t="s">
        <v>213</v>
      </c>
      <c r="L164" s="56" t="s">
        <v>12</v>
      </c>
      <c r="M164" s="50"/>
      <c r="N164" s="51"/>
      <c r="P164" s="89"/>
      <c r="V164" s="118"/>
      <c r="Y164" s="3"/>
      <c r="Z164" s="52"/>
      <c r="AC164" s="1"/>
      <c r="AD164" s="118"/>
      <c r="AE164" s="3"/>
      <c r="AF164" s="4"/>
      <c r="AG164" s="3"/>
      <c r="AH164" s="52"/>
    </row>
    <row r="165" spans="2:34" ht="15" x14ac:dyDescent="0.25">
      <c r="B165" s="130" t="s">
        <v>30</v>
      </c>
      <c r="C165" s="131" t="s">
        <v>31</v>
      </c>
      <c r="D165" s="64" t="s">
        <v>32</v>
      </c>
      <c r="E165" s="64" t="s">
        <v>32</v>
      </c>
      <c r="F165" s="64" t="s">
        <v>32</v>
      </c>
      <c r="G165" s="63" t="s">
        <v>33</v>
      </c>
      <c r="H165" s="65" t="s">
        <v>34</v>
      </c>
      <c r="I165" s="65" t="s">
        <v>34</v>
      </c>
      <c r="J165" s="66" t="s">
        <v>14</v>
      </c>
      <c r="K165" s="66" t="s">
        <v>14</v>
      </c>
      <c r="L165" s="67" t="s">
        <v>14</v>
      </c>
      <c r="M165" s="50"/>
      <c r="N165" s="51"/>
      <c r="P165" s="89"/>
      <c r="U165" s="58"/>
      <c r="V165" s="47"/>
      <c r="W165" s="13"/>
      <c r="X165" s="47"/>
      <c r="Y165" s="10"/>
      <c r="Z165" s="61"/>
      <c r="AC165" s="58"/>
      <c r="AD165" s="47"/>
      <c r="AE165" s="13"/>
      <c r="AF165" s="47"/>
      <c r="AG165" s="10"/>
      <c r="AH165" s="61"/>
    </row>
    <row r="166" spans="2:34" ht="15" x14ac:dyDescent="0.25">
      <c r="B166" s="68"/>
      <c r="C166" s="132"/>
      <c r="D166" s="133"/>
      <c r="E166" s="133"/>
      <c r="F166" s="133"/>
      <c r="G166" s="132"/>
      <c r="H166" s="134"/>
      <c r="I166" s="134"/>
      <c r="J166" s="135"/>
      <c r="K166" s="135"/>
      <c r="L166" s="74"/>
      <c r="M166" s="50"/>
      <c r="N166" s="51"/>
      <c r="P166" s="89"/>
      <c r="U166" s="58"/>
      <c r="V166" s="47"/>
      <c r="W166" s="13"/>
      <c r="X166" s="47"/>
      <c r="Y166" s="10"/>
      <c r="Z166" s="61"/>
      <c r="AC166" s="58"/>
      <c r="AD166" s="47"/>
      <c r="AE166" s="13"/>
      <c r="AF166" s="47"/>
      <c r="AG166" s="10"/>
      <c r="AH166" s="61"/>
    </row>
    <row r="167" spans="2:34" ht="15" x14ac:dyDescent="0.25">
      <c r="B167" s="68">
        <v>5</v>
      </c>
      <c r="C167" s="177" t="s">
        <v>19</v>
      </c>
      <c r="D167" s="133"/>
      <c r="E167" s="133"/>
      <c r="F167" s="133"/>
      <c r="G167" s="132"/>
      <c r="H167" s="72"/>
      <c r="I167" s="72"/>
      <c r="J167" s="73"/>
      <c r="K167" s="73"/>
      <c r="L167" s="136"/>
      <c r="M167" s="50"/>
      <c r="N167" s="51"/>
      <c r="P167" s="89"/>
      <c r="U167" s="58"/>
      <c r="V167" s="178"/>
      <c r="W167" s="13"/>
      <c r="X167" s="47"/>
      <c r="Z167" s="61"/>
      <c r="AC167" s="58"/>
      <c r="AD167" s="178"/>
      <c r="AE167" s="13"/>
      <c r="AF167" s="47"/>
      <c r="AG167" s="5"/>
      <c r="AH167" s="61"/>
    </row>
    <row r="168" spans="2:34" ht="15" outlineLevel="1" x14ac:dyDescent="0.25">
      <c r="B168" s="68"/>
      <c r="C168" s="177"/>
      <c r="D168" s="133"/>
      <c r="E168" s="133"/>
      <c r="F168" s="133"/>
      <c r="G168" s="132"/>
      <c r="H168" s="72"/>
      <c r="I168" s="72"/>
      <c r="J168" s="73"/>
      <c r="K168" s="73"/>
      <c r="L168" s="136"/>
      <c r="M168" s="50"/>
      <c r="N168" s="51"/>
      <c r="P168" s="89"/>
      <c r="U168" s="58"/>
      <c r="V168" s="178"/>
      <c r="W168" s="13"/>
      <c r="X168" s="47"/>
      <c r="Z168" s="61"/>
      <c r="AC168" s="58"/>
      <c r="AD168" s="178"/>
      <c r="AE168" s="13"/>
      <c r="AF168" s="47"/>
      <c r="AG168" s="5"/>
      <c r="AH168" s="61"/>
    </row>
    <row r="169" spans="2:34" ht="27" outlineLevel="1" x14ac:dyDescent="0.25">
      <c r="B169" s="109" t="s">
        <v>105</v>
      </c>
      <c r="C169" s="110" t="s">
        <v>119</v>
      </c>
      <c r="D169" s="133"/>
      <c r="E169" s="133"/>
      <c r="F169" s="133"/>
      <c r="G169" s="132"/>
      <c r="H169" s="72"/>
      <c r="I169" s="72"/>
      <c r="J169" s="73"/>
      <c r="K169" s="73"/>
      <c r="L169" s="136"/>
      <c r="M169" s="50"/>
      <c r="N169" s="51"/>
      <c r="P169" s="89"/>
      <c r="W169" s="13"/>
      <c r="X169" s="47"/>
      <c r="Z169" s="52"/>
      <c r="AC169" s="1"/>
      <c r="AE169" s="13"/>
      <c r="AF169" s="47"/>
      <c r="AG169" s="5"/>
      <c r="AH169" s="52"/>
    </row>
    <row r="170" spans="2:34" ht="15" outlineLevel="1" x14ac:dyDescent="0.25">
      <c r="B170" s="109" t="s">
        <v>105</v>
      </c>
      <c r="C170" s="110" t="s">
        <v>120</v>
      </c>
      <c r="D170" s="133"/>
      <c r="E170" s="133"/>
      <c r="F170" s="133"/>
      <c r="G170" s="132"/>
      <c r="H170" s="72"/>
      <c r="I170" s="72"/>
      <c r="J170" s="73"/>
      <c r="K170" s="73"/>
      <c r="L170" s="136"/>
      <c r="M170" s="50"/>
      <c r="N170" s="51"/>
      <c r="P170" s="89"/>
      <c r="W170" s="13"/>
      <c r="X170" s="47"/>
      <c r="Z170" s="52"/>
      <c r="AC170" s="1"/>
      <c r="AE170" s="13"/>
      <c r="AF170" s="47"/>
      <c r="AG170" s="5"/>
      <c r="AH170" s="52"/>
    </row>
    <row r="171" spans="2:34" ht="15" outlineLevel="1" x14ac:dyDescent="0.25">
      <c r="B171" s="109"/>
      <c r="C171" s="110"/>
      <c r="D171" s="133"/>
      <c r="E171" s="133"/>
      <c r="F171" s="133"/>
      <c r="G171" s="132"/>
      <c r="H171" s="72"/>
      <c r="I171" s="72"/>
      <c r="J171" s="73"/>
      <c r="K171" s="73"/>
      <c r="L171" s="136"/>
      <c r="M171" s="50"/>
      <c r="N171" s="51"/>
      <c r="P171" s="89"/>
      <c r="W171" s="13"/>
      <c r="X171" s="47"/>
      <c r="Z171" s="61"/>
      <c r="AC171" s="1"/>
      <c r="AE171" s="13"/>
      <c r="AF171" s="47"/>
      <c r="AG171" s="5"/>
      <c r="AH171" s="61"/>
    </row>
    <row r="172" spans="2:34" ht="15" outlineLevel="1" x14ac:dyDescent="0.25">
      <c r="B172" s="109"/>
      <c r="C172" s="82" t="s">
        <v>121</v>
      </c>
      <c r="D172" s="133"/>
      <c r="E172" s="133"/>
      <c r="F172" s="133"/>
      <c r="G172" s="132"/>
      <c r="H172" s="72"/>
      <c r="I172" s="72"/>
      <c r="J172" s="73"/>
      <c r="K172" s="73"/>
      <c r="L172" s="88"/>
      <c r="M172" s="50"/>
      <c r="N172" s="51"/>
      <c r="P172" s="89"/>
      <c r="V172" s="83"/>
      <c r="W172" s="13"/>
      <c r="X172" s="47"/>
      <c r="Z172" s="52"/>
      <c r="AC172" s="1"/>
      <c r="AD172" s="83"/>
      <c r="AE172" s="13"/>
      <c r="AF172" s="47"/>
      <c r="AG172" s="5"/>
      <c r="AH172" s="52"/>
    </row>
    <row r="173" spans="2:34" ht="15" outlineLevel="1" x14ac:dyDescent="0.25">
      <c r="B173" s="109">
        <v>1</v>
      </c>
      <c r="C173" s="179" t="s">
        <v>108</v>
      </c>
      <c r="D173" s="113">
        <v>2000</v>
      </c>
      <c r="E173" s="340">
        <v>1500</v>
      </c>
      <c r="F173" s="113">
        <v>0</v>
      </c>
      <c r="G173" s="127" t="s">
        <v>108</v>
      </c>
      <c r="H173" s="72">
        <v>45</v>
      </c>
      <c r="I173" s="72"/>
      <c r="J173" s="73">
        <f>+(D173*H173)</f>
        <v>90000</v>
      </c>
      <c r="K173" s="73">
        <f>+(E173*H173)</f>
        <v>67500</v>
      </c>
      <c r="L173" s="180">
        <f>+(F173*I173)</f>
        <v>0</v>
      </c>
      <c r="M173" s="50"/>
      <c r="N173" s="51"/>
      <c r="P173" s="89"/>
      <c r="V173" s="181"/>
      <c r="Z173" s="52"/>
      <c r="AA173" s="89"/>
      <c r="AB173" s="89"/>
      <c r="AC173" s="1"/>
      <c r="AD173" s="181"/>
      <c r="AE173" s="3"/>
      <c r="AF173" s="4"/>
      <c r="AG173" s="5"/>
      <c r="AH173" s="52"/>
    </row>
    <row r="174" spans="2:34" ht="15" outlineLevel="1" x14ac:dyDescent="0.25">
      <c r="B174" s="109"/>
      <c r="C174" s="182" t="s">
        <v>122</v>
      </c>
      <c r="D174" s="340">
        <v>5000</v>
      </c>
      <c r="E174" s="340">
        <v>5000</v>
      </c>
      <c r="F174" s="113">
        <v>0</v>
      </c>
      <c r="G174" s="127"/>
      <c r="H174" s="72">
        <f>D174*25</f>
        <v>125000</v>
      </c>
      <c r="I174" s="72"/>
      <c r="J174" s="73"/>
      <c r="K174" s="73"/>
      <c r="L174" s="88">
        <f t="shared" ref="L174:L180" si="20">D174*H174</f>
        <v>625000000</v>
      </c>
      <c r="M174" s="50"/>
      <c r="N174" s="51"/>
      <c r="P174" s="89"/>
      <c r="V174" s="182"/>
      <c r="Z174" s="52"/>
      <c r="AA174" s="89"/>
      <c r="AB174" s="89"/>
      <c r="AC174" s="1"/>
      <c r="AD174" s="182"/>
      <c r="AE174" s="3"/>
      <c r="AF174" s="4"/>
      <c r="AG174" s="5"/>
      <c r="AH174" s="52"/>
    </row>
    <row r="175" spans="2:34" ht="15" outlineLevel="1" x14ac:dyDescent="0.25">
      <c r="B175" s="109">
        <v>2</v>
      </c>
      <c r="C175" s="82" t="s">
        <v>123</v>
      </c>
      <c r="D175" s="113">
        <v>0</v>
      </c>
      <c r="E175" s="113">
        <v>0</v>
      </c>
      <c r="F175" s="113">
        <v>0</v>
      </c>
      <c r="G175" s="127"/>
      <c r="H175" s="72"/>
      <c r="I175" s="72"/>
      <c r="J175" s="73"/>
      <c r="K175" s="73"/>
      <c r="L175" s="88">
        <f t="shared" si="20"/>
        <v>0</v>
      </c>
      <c r="M175" s="50"/>
      <c r="N175" s="51"/>
      <c r="P175" s="89"/>
      <c r="V175" s="83"/>
      <c r="Z175" s="183"/>
      <c r="AA175" s="89"/>
      <c r="AB175" s="89"/>
      <c r="AC175" s="1"/>
      <c r="AD175" s="181"/>
      <c r="AE175" s="3"/>
      <c r="AF175" s="4"/>
      <c r="AG175" s="5"/>
      <c r="AH175" s="52"/>
    </row>
    <row r="176" spans="2:34" ht="15" outlineLevel="1" x14ac:dyDescent="0.25">
      <c r="B176" s="109"/>
      <c r="C176" s="179" t="s">
        <v>124</v>
      </c>
      <c r="D176" s="340">
        <v>1000</v>
      </c>
      <c r="E176" s="340">
        <v>1000</v>
      </c>
      <c r="F176" s="113"/>
      <c r="G176" s="127" t="s">
        <v>110</v>
      </c>
      <c r="H176" s="72">
        <v>9</v>
      </c>
      <c r="I176" s="72"/>
      <c r="J176" s="73">
        <f>+(D176*H176)</f>
        <v>9000</v>
      </c>
      <c r="K176" s="73">
        <f>+(E176*H176)</f>
        <v>9000</v>
      </c>
      <c r="L176" s="180">
        <f>+(F176*I176)</f>
        <v>0</v>
      </c>
      <c r="M176" s="50"/>
      <c r="N176" s="51"/>
      <c r="P176" s="89"/>
      <c r="V176" s="181"/>
      <c r="Z176" s="183"/>
      <c r="AA176" s="89"/>
      <c r="AB176" s="89"/>
      <c r="AC176" s="1"/>
      <c r="AD176" s="182"/>
      <c r="AE176" s="3"/>
      <c r="AF176" s="4"/>
      <c r="AG176" s="5"/>
      <c r="AH176" s="52"/>
    </row>
    <row r="177" spans="1:35" ht="15" outlineLevel="1" x14ac:dyDescent="0.25">
      <c r="B177" s="109"/>
      <c r="C177" s="82" t="s">
        <v>71</v>
      </c>
      <c r="D177" s="133"/>
      <c r="E177" s="133"/>
      <c r="F177" s="133"/>
      <c r="G177" s="132"/>
      <c r="H177" s="72"/>
      <c r="I177" s="72"/>
      <c r="J177" s="73"/>
      <c r="K177" s="73"/>
      <c r="L177" s="88">
        <f t="shared" si="20"/>
        <v>0</v>
      </c>
      <c r="M177" s="50"/>
      <c r="N177" s="51"/>
      <c r="P177" s="89"/>
      <c r="V177" s="83"/>
      <c r="W177" s="13"/>
      <c r="X177" s="47"/>
      <c r="Z177" s="183"/>
      <c r="AC177" s="1"/>
      <c r="AD177" s="83"/>
      <c r="AE177" s="13"/>
      <c r="AF177" s="47"/>
      <c r="AG177" s="5"/>
      <c r="AH177" s="52"/>
    </row>
    <row r="178" spans="1:35" s="170" customFormat="1" ht="15" outlineLevel="1" x14ac:dyDescent="0.25">
      <c r="B178" s="109">
        <v>3</v>
      </c>
      <c r="C178" s="156" t="s">
        <v>125</v>
      </c>
      <c r="D178" s="184">
        <v>19</v>
      </c>
      <c r="E178" s="113">
        <v>16</v>
      </c>
      <c r="F178" s="113">
        <v>16</v>
      </c>
      <c r="G178" s="127" t="s">
        <v>126</v>
      </c>
      <c r="H178" s="72">
        <v>1500</v>
      </c>
      <c r="I178" s="72">
        <v>1250</v>
      </c>
      <c r="J178" s="73">
        <f>+(D178*H178)</f>
        <v>28500</v>
      </c>
      <c r="K178" s="73">
        <f>+(E178*H178)</f>
        <v>24000</v>
      </c>
      <c r="L178" s="88">
        <f>+(F178*I178)</f>
        <v>20000</v>
      </c>
      <c r="M178" s="50"/>
      <c r="N178" s="51"/>
      <c r="O178" s="169"/>
      <c r="P178" s="89"/>
      <c r="Q178" s="2"/>
      <c r="R178" s="185"/>
      <c r="U178" s="1"/>
      <c r="V178" s="158"/>
      <c r="W178" s="3"/>
      <c r="X178" s="4"/>
      <c r="Y178" s="5"/>
      <c r="Z178" s="183"/>
      <c r="AA178" s="89"/>
      <c r="AB178" s="89"/>
      <c r="AC178" s="1"/>
      <c r="AD178" s="158"/>
      <c r="AE178" s="3"/>
      <c r="AF178" s="4"/>
      <c r="AG178" s="5"/>
      <c r="AH178" s="52"/>
    </row>
    <row r="179" spans="1:35" ht="30" outlineLevel="1" x14ac:dyDescent="0.25">
      <c r="B179" s="109"/>
      <c r="C179" s="186" t="s">
        <v>127</v>
      </c>
      <c r="D179" s="113"/>
      <c r="E179" s="113"/>
      <c r="F179" s="113"/>
      <c r="G179" s="127"/>
      <c r="H179" s="72"/>
      <c r="I179" s="72"/>
      <c r="J179" s="72"/>
      <c r="K179" s="5"/>
      <c r="L179" s="88">
        <f t="shared" si="20"/>
        <v>0</v>
      </c>
      <c r="M179" s="50"/>
      <c r="N179" s="51"/>
      <c r="P179" s="89"/>
      <c r="Q179" s="187"/>
      <c r="R179" s="188"/>
      <c r="V179" s="189"/>
      <c r="Z179" s="52"/>
      <c r="AC179" s="1"/>
      <c r="AD179" s="189"/>
      <c r="AE179" s="3"/>
      <c r="AF179" s="4"/>
      <c r="AG179" s="5"/>
      <c r="AH179" s="52"/>
    </row>
    <row r="180" spans="1:35" ht="15" outlineLevel="1" x14ac:dyDescent="0.25">
      <c r="B180" s="109">
        <v>4</v>
      </c>
      <c r="C180" s="82" t="s">
        <v>128</v>
      </c>
      <c r="D180" s="113"/>
      <c r="E180" s="113"/>
      <c r="F180" s="113"/>
      <c r="G180" s="127"/>
      <c r="H180" s="72"/>
      <c r="I180" s="72"/>
      <c r="J180" s="72"/>
      <c r="K180" s="5"/>
      <c r="L180" s="88">
        <f t="shared" si="20"/>
        <v>0</v>
      </c>
      <c r="M180" s="50"/>
      <c r="N180" s="51"/>
      <c r="P180" s="89"/>
      <c r="V180" s="83"/>
      <c r="Z180" s="52"/>
      <c r="AC180" s="1"/>
      <c r="AD180" s="83"/>
      <c r="AE180" s="3"/>
      <c r="AF180" s="4"/>
      <c r="AG180" s="5"/>
      <c r="AH180" s="52"/>
    </row>
    <row r="181" spans="1:35" ht="15" outlineLevel="1" x14ac:dyDescent="0.25">
      <c r="B181" s="109"/>
      <c r="C181" s="190" t="s">
        <v>129</v>
      </c>
      <c r="D181" s="113">
        <f>[1]Quantaties!D12</f>
        <v>1420</v>
      </c>
      <c r="E181" s="113">
        <v>917</v>
      </c>
      <c r="F181" s="113">
        <v>917</v>
      </c>
      <c r="G181" s="127" t="s">
        <v>76</v>
      </c>
      <c r="H181" s="72">
        <v>95</v>
      </c>
      <c r="I181" s="72">
        <v>65</v>
      </c>
      <c r="J181" s="72">
        <f>+(D181*H181)</f>
        <v>134900</v>
      </c>
      <c r="K181" s="5">
        <f>+(E181*H181)</f>
        <v>87115</v>
      </c>
      <c r="L181" s="88">
        <f>+(F181*I181)</f>
        <v>59605</v>
      </c>
      <c r="M181" s="50"/>
      <c r="N181" s="51"/>
      <c r="P181" s="89"/>
      <c r="V181" s="189"/>
      <c r="Z181" s="52"/>
      <c r="AA181" s="89"/>
      <c r="AB181" s="89"/>
      <c r="AC181" s="1"/>
      <c r="AD181" s="189"/>
      <c r="AE181" s="3"/>
      <c r="AF181" s="4"/>
      <c r="AG181" s="5"/>
      <c r="AH181" s="52"/>
      <c r="AI181" s="2">
        <f>+AE181*120</f>
        <v>0</v>
      </c>
    </row>
    <row r="182" spans="1:35" ht="15.75" outlineLevel="1" thickBot="1" x14ac:dyDescent="0.3">
      <c r="B182" s="109"/>
      <c r="C182" s="190"/>
      <c r="D182" s="113"/>
      <c r="I182" s="5"/>
      <c r="J182" s="5"/>
      <c r="K182" s="5"/>
      <c r="L182" s="176"/>
      <c r="M182" s="50"/>
      <c r="N182" s="51"/>
      <c r="P182" s="89"/>
      <c r="V182" s="189"/>
      <c r="Z182" s="52"/>
      <c r="AC182" s="1"/>
      <c r="AD182" s="189"/>
      <c r="AE182" s="3"/>
      <c r="AF182" s="4"/>
      <c r="AG182" s="5"/>
      <c r="AH182" s="52"/>
    </row>
    <row r="183" spans="1:35" ht="15.75" thickBot="1" x14ac:dyDescent="0.3">
      <c r="B183" s="109"/>
      <c r="C183" s="110"/>
      <c r="D183" s="113"/>
      <c r="G183" s="299" t="s">
        <v>130</v>
      </c>
      <c r="H183" s="300"/>
      <c r="I183" s="191"/>
      <c r="J183" s="192">
        <f>+SUM(J173:J181)</f>
        <v>262400</v>
      </c>
      <c r="K183" s="192">
        <f>+SUM(K173:K181)</f>
        <v>187615</v>
      </c>
      <c r="L183" s="117">
        <f>SUM(L173:L181)</f>
        <v>625079605</v>
      </c>
      <c r="M183" s="50"/>
      <c r="N183" s="51"/>
      <c r="P183" s="89"/>
      <c r="X183" s="296"/>
      <c r="Y183" s="296"/>
      <c r="Z183" s="119"/>
      <c r="AA183" s="119"/>
      <c r="AB183" s="119"/>
      <c r="AC183" s="1"/>
      <c r="AE183" s="3"/>
      <c r="AF183" s="296"/>
      <c r="AG183" s="296"/>
      <c r="AH183" s="119"/>
    </row>
    <row r="184" spans="1:35" ht="15.75" thickBot="1" x14ac:dyDescent="0.3">
      <c r="B184" s="120"/>
      <c r="C184" s="121"/>
      <c r="D184" s="122"/>
      <c r="E184" s="123"/>
      <c r="F184" s="123"/>
      <c r="G184" s="303" t="s">
        <v>131</v>
      </c>
      <c r="H184" s="304"/>
      <c r="I184" s="124"/>
      <c r="J184" s="124"/>
      <c r="K184" s="124"/>
      <c r="L184" s="125">
        <f>L183</f>
        <v>625079605</v>
      </c>
      <c r="M184" s="50"/>
      <c r="N184" s="51"/>
      <c r="P184" s="89"/>
      <c r="X184" s="296"/>
      <c r="Y184" s="296"/>
      <c r="Z184" s="119"/>
      <c r="AA184" s="119"/>
      <c r="AB184" s="119"/>
      <c r="AC184" s="1"/>
      <c r="AE184" s="3"/>
      <c r="AF184" s="296"/>
      <c r="AG184" s="296"/>
      <c r="AH184" s="119"/>
    </row>
    <row r="185" spans="1:35" ht="15" hidden="1" x14ac:dyDescent="0.25">
      <c r="B185" s="109"/>
      <c r="C185" s="110"/>
      <c r="D185" s="113"/>
      <c r="E185" s="113"/>
      <c r="F185" s="113"/>
      <c r="G185" s="127"/>
      <c r="H185" s="113"/>
      <c r="I185" s="113"/>
      <c r="J185" s="128"/>
      <c r="K185" s="128"/>
      <c r="L185" s="88"/>
      <c r="M185" s="50"/>
      <c r="N185" s="51"/>
      <c r="P185" s="89"/>
      <c r="Y185" s="3"/>
      <c r="Z185" s="52"/>
      <c r="AC185" s="1"/>
      <c r="AE185" s="3"/>
      <c r="AF185" s="4"/>
      <c r="AG185" s="3"/>
      <c r="AH185" s="52"/>
    </row>
    <row r="186" spans="1:35" ht="15" hidden="1" x14ac:dyDescent="0.25">
      <c r="B186" s="109"/>
      <c r="C186" s="110"/>
      <c r="D186" s="113"/>
      <c r="E186" s="113"/>
      <c r="F186" s="113"/>
      <c r="G186" s="127"/>
      <c r="H186" s="113"/>
      <c r="I186" s="113"/>
      <c r="J186" s="3"/>
      <c r="K186" s="3"/>
      <c r="L186" s="176"/>
      <c r="M186" s="50"/>
      <c r="N186" s="51"/>
      <c r="P186" s="89"/>
      <c r="Y186" s="3"/>
      <c r="Z186" s="52"/>
      <c r="AC186" s="1"/>
      <c r="AE186" s="3"/>
      <c r="AF186" s="4"/>
      <c r="AG186" s="3"/>
      <c r="AH186" s="52"/>
    </row>
    <row r="187" spans="1:35" ht="15" hidden="1" x14ac:dyDescent="0.25">
      <c r="A187" s="193"/>
      <c r="B187" s="194"/>
      <c r="C187" s="110"/>
      <c r="D187" s="113"/>
      <c r="E187" s="113"/>
      <c r="F187" s="113"/>
      <c r="G187" s="127"/>
      <c r="H187" s="113"/>
      <c r="I187" s="113"/>
      <c r="J187" s="3"/>
      <c r="K187" s="3"/>
      <c r="L187" s="176"/>
      <c r="M187" s="50"/>
      <c r="N187" s="51"/>
      <c r="P187" s="89"/>
      <c r="Y187" s="3"/>
      <c r="Z187" s="52"/>
      <c r="AC187" s="1"/>
      <c r="AE187" s="3"/>
      <c r="AF187" s="4"/>
      <c r="AG187" s="3"/>
      <c r="AH187" s="52"/>
    </row>
    <row r="188" spans="1:35" ht="15.75" thickBot="1" x14ac:dyDescent="0.3">
      <c r="A188" s="193"/>
      <c r="B188" s="120"/>
      <c r="C188" s="121"/>
      <c r="D188" s="113"/>
      <c r="E188" s="113"/>
      <c r="F188" s="113"/>
      <c r="G188" s="127"/>
      <c r="H188" s="113"/>
      <c r="I188" s="113"/>
      <c r="J188" s="3"/>
      <c r="K188" s="3"/>
      <c r="L188" s="176"/>
      <c r="M188" s="50"/>
      <c r="N188" s="51"/>
      <c r="P188" s="89"/>
      <c r="Y188" s="3"/>
      <c r="Z188" s="52"/>
      <c r="AC188" s="1"/>
      <c r="AE188" s="3"/>
      <c r="AF188" s="4"/>
      <c r="AG188" s="3"/>
      <c r="AH188" s="52"/>
    </row>
    <row r="189" spans="1:35" ht="30.75" thickBot="1" x14ac:dyDescent="0.3">
      <c r="A189" s="193"/>
      <c r="B189" s="194"/>
      <c r="C189" s="110"/>
      <c r="D189" s="55" t="s">
        <v>11</v>
      </c>
      <c r="E189" s="55" t="s">
        <v>213</v>
      </c>
      <c r="F189" s="55" t="s">
        <v>12</v>
      </c>
      <c r="G189" s="54"/>
      <c r="H189" s="54" t="s">
        <v>28</v>
      </c>
      <c r="I189" s="54" t="s">
        <v>29</v>
      </c>
      <c r="J189" s="55" t="s">
        <v>11</v>
      </c>
      <c r="K189" s="55" t="s">
        <v>213</v>
      </c>
      <c r="L189" s="56" t="s">
        <v>12</v>
      </c>
      <c r="M189" s="50"/>
      <c r="N189" s="51"/>
      <c r="P189" s="89"/>
      <c r="Y189" s="3"/>
      <c r="Z189" s="52"/>
      <c r="AC189" s="1"/>
      <c r="AE189" s="3"/>
      <c r="AF189" s="4"/>
      <c r="AG189" s="3"/>
      <c r="AH189" s="52"/>
    </row>
    <row r="190" spans="1:35" ht="15" x14ac:dyDescent="0.25">
      <c r="A190" s="193"/>
      <c r="B190" s="130" t="s">
        <v>30</v>
      </c>
      <c r="C190" s="131" t="s">
        <v>31</v>
      </c>
      <c r="D190" s="64" t="s">
        <v>32</v>
      </c>
      <c r="E190" s="64" t="s">
        <v>32</v>
      </c>
      <c r="F190" s="64" t="s">
        <v>32</v>
      </c>
      <c r="G190" s="63" t="s">
        <v>33</v>
      </c>
      <c r="H190" s="65" t="s">
        <v>34</v>
      </c>
      <c r="I190" s="65" t="s">
        <v>34</v>
      </c>
      <c r="J190" s="66" t="s">
        <v>14</v>
      </c>
      <c r="K190" s="66" t="s">
        <v>14</v>
      </c>
      <c r="L190" s="67" t="s">
        <v>14</v>
      </c>
      <c r="M190" s="50"/>
      <c r="N190" s="51"/>
      <c r="P190" s="89"/>
      <c r="U190" s="58"/>
      <c r="V190" s="47"/>
      <c r="W190" s="13"/>
      <c r="X190" s="47"/>
      <c r="Y190" s="10"/>
      <c r="Z190" s="61"/>
      <c r="AC190" s="58"/>
      <c r="AD190" s="47"/>
      <c r="AE190" s="13"/>
      <c r="AF190" s="47"/>
      <c r="AG190" s="10"/>
      <c r="AH190" s="61"/>
    </row>
    <row r="191" spans="1:35" ht="15" x14ac:dyDescent="0.25">
      <c r="A191" s="193"/>
      <c r="B191" s="195"/>
      <c r="C191" s="132"/>
      <c r="D191" s="133"/>
      <c r="E191" s="133"/>
      <c r="F191" s="133"/>
      <c r="G191" s="132"/>
      <c r="H191" s="134"/>
      <c r="I191" s="134"/>
      <c r="J191" s="10"/>
      <c r="K191" s="10"/>
      <c r="L191" s="196"/>
      <c r="M191" s="50"/>
      <c r="N191" s="51"/>
      <c r="P191" s="89"/>
      <c r="U191" s="58"/>
      <c r="V191" s="47"/>
      <c r="W191" s="13"/>
      <c r="X191" s="47"/>
      <c r="Y191" s="10"/>
      <c r="Z191" s="61"/>
      <c r="AC191" s="58"/>
      <c r="AD191" s="47"/>
      <c r="AE191" s="13"/>
      <c r="AF191" s="47"/>
      <c r="AG191" s="10"/>
      <c r="AH191" s="61"/>
    </row>
    <row r="192" spans="1:35" ht="15" x14ac:dyDescent="0.25">
      <c r="A192" s="193"/>
      <c r="B192" s="195">
        <v>6</v>
      </c>
      <c r="C192" s="177" t="s">
        <v>20</v>
      </c>
      <c r="D192" s="133"/>
      <c r="E192" s="133"/>
      <c r="F192" s="133"/>
      <c r="G192" s="132"/>
      <c r="H192" s="72"/>
      <c r="I192" s="72"/>
      <c r="J192" s="5"/>
      <c r="K192" s="5"/>
      <c r="L192" s="197"/>
      <c r="M192" s="50"/>
      <c r="N192" s="51"/>
      <c r="P192" s="89"/>
      <c r="U192" s="58"/>
      <c r="V192" s="178"/>
      <c r="W192" s="13"/>
      <c r="X192" s="47"/>
      <c r="Z192" s="61"/>
      <c r="AC192" s="58"/>
      <c r="AD192" s="178"/>
      <c r="AE192" s="13"/>
      <c r="AF192" s="47"/>
      <c r="AG192" s="5"/>
      <c r="AH192" s="61"/>
    </row>
    <row r="193" spans="1:34" ht="15.75" outlineLevel="1" x14ac:dyDescent="0.25">
      <c r="A193" s="193"/>
      <c r="B193" s="194"/>
      <c r="C193" s="177"/>
      <c r="D193" s="198"/>
      <c r="E193" s="198"/>
      <c r="F193" s="198"/>
      <c r="G193" s="199"/>
      <c r="H193" s="72"/>
      <c r="I193" s="72"/>
      <c r="J193" s="5"/>
      <c r="K193" s="5"/>
      <c r="L193" s="200"/>
      <c r="M193" s="50"/>
      <c r="N193" s="51"/>
      <c r="P193" s="89"/>
      <c r="V193" s="178"/>
      <c r="W193" s="201"/>
      <c r="X193" s="202"/>
      <c r="Z193" s="203"/>
      <c r="AC193" s="1"/>
      <c r="AD193" s="178"/>
      <c r="AE193" s="201"/>
      <c r="AF193" s="202"/>
      <c r="AG193" s="5"/>
      <c r="AH193" s="203"/>
    </row>
    <row r="194" spans="1:34" ht="15.75" outlineLevel="1" x14ac:dyDescent="0.25">
      <c r="A194" s="193"/>
      <c r="B194" s="194"/>
      <c r="C194" s="204" t="s">
        <v>132</v>
      </c>
      <c r="D194" s="198"/>
      <c r="E194" s="198"/>
      <c r="F194" s="198"/>
      <c r="G194" s="199"/>
      <c r="H194" s="72"/>
      <c r="I194" s="72"/>
      <c r="J194" s="5"/>
      <c r="K194" s="5"/>
      <c r="L194" s="200"/>
      <c r="M194" s="50"/>
      <c r="N194" s="51"/>
      <c r="P194" s="89"/>
      <c r="V194" s="205"/>
      <c r="W194" s="201"/>
      <c r="X194" s="202"/>
      <c r="Z194" s="203"/>
      <c r="AC194" s="1"/>
      <c r="AD194" s="205"/>
      <c r="AE194" s="201"/>
      <c r="AF194" s="202"/>
      <c r="AG194" s="5"/>
      <c r="AH194" s="203"/>
    </row>
    <row r="195" spans="1:34" ht="15" outlineLevel="1" x14ac:dyDescent="0.25">
      <c r="A195" s="193"/>
      <c r="B195" s="194"/>
      <c r="C195" s="110" t="s">
        <v>133</v>
      </c>
      <c r="D195" s="113">
        <v>2</v>
      </c>
      <c r="E195" s="113">
        <v>2</v>
      </c>
      <c r="F195" s="113">
        <v>2</v>
      </c>
      <c r="G195" s="127" t="s">
        <v>76</v>
      </c>
      <c r="H195" s="72">
        <v>25</v>
      </c>
      <c r="I195" s="72">
        <v>25</v>
      </c>
      <c r="J195" s="73">
        <f>+(D195*H195)</f>
        <v>50</v>
      </c>
      <c r="K195" s="73">
        <f>+(E195*H195)</f>
        <v>50</v>
      </c>
      <c r="L195" s="88">
        <f>+(F195*I195)</f>
        <v>50</v>
      </c>
      <c r="M195" s="50"/>
      <c r="N195" s="51"/>
      <c r="P195" s="89"/>
      <c r="Z195" s="52"/>
      <c r="AA195" s="89"/>
      <c r="AB195" s="89"/>
      <c r="AC195" s="1"/>
      <c r="AE195" s="3"/>
      <c r="AF195" s="4"/>
      <c r="AG195" s="5"/>
      <c r="AH195" s="52"/>
    </row>
    <row r="196" spans="1:34" ht="27" outlineLevel="1" x14ac:dyDescent="0.25">
      <c r="A196" s="193"/>
      <c r="B196" s="194"/>
      <c r="C196" s="110" t="s">
        <v>134</v>
      </c>
      <c r="D196" s="113">
        <v>1</v>
      </c>
      <c r="E196" s="113">
        <v>1</v>
      </c>
      <c r="F196" s="113">
        <v>1</v>
      </c>
      <c r="G196" s="127" t="s">
        <v>69</v>
      </c>
      <c r="H196" s="72">
        <v>1200</v>
      </c>
      <c r="I196" s="72">
        <v>1200</v>
      </c>
      <c r="J196" s="73">
        <f>+(D196*H196)</f>
        <v>1200</v>
      </c>
      <c r="K196" s="73">
        <f>+(E196*I196)</f>
        <v>1200</v>
      </c>
      <c r="L196" s="88">
        <f>+(F196*I196)</f>
        <v>1200</v>
      </c>
      <c r="M196" s="50"/>
      <c r="N196" s="51"/>
      <c r="P196" s="89"/>
      <c r="Z196" s="52"/>
      <c r="AA196" s="89"/>
      <c r="AB196" s="89"/>
      <c r="AC196" s="1"/>
      <c r="AE196" s="3"/>
      <c r="AF196" s="4"/>
      <c r="AG196" s="5"/>
      <c r="AH196" s="52"/>
    </row>
    <row r="197" spans="1:34" ht="15" outlineLevel="1" x14ac:dyDescent="0.25">
      <c r="A197" s="193"/>
      <c r="B197" s="194"/>
      <c r="C197" s="110"/>
      <c r="D197" s="159"/>
      <c r="E197" s="159"/>
      <c r="F197" s="159"/>
      <c r="G197" s="127"/>
      <c r="H197" s="72"/>
      <c r="I197" s="72"/>
      <c r="J197" s="73"/>
      <c r="K197" s="73"/>
      <c r="L197" s="88">
        <f>H197*D197</f>
        <v>0</v>
      </c>
      <c r="M197" s="50"/>
      <c r="N197" s="51"/>
      <c r="P197" s="89"/>
      <c r="W197" s="160"/>
      <c r="Z197" s="52"/>
      <c r="AC197" s="1"/>
      <c r="AE197" s="160"/>
      <c r="AF197" s="4"/>
      <c r="AG197" s="5"/>
      <c r="AH197" s="52"/>
    </row>
    <row r="198" spans="1:34" ht="15.75" outlineLevel="1" x14ac:dyDescent="0.25">
      <c r="A198" s="193"/>
      <c r="B198" s="194"/>
      <c r="C198" s="177" t="s">
        <v>135</v>
      </c>
      <c r="D198" s="198"/>
      <c r="E198" s="198"/>
      <c r="F198" s="198"/>
      <c r="G198" s="127"/>
      <c r="H198" s="72"/>
      <c r="I198" s="72"/>
      <c r="J198" s="73"/>
      <c r="K198" s="73"/>
      <c r="L198" s="88">
        <f>H198*D198</f>
        <v>0</v>
      </c>
      <c r="M198" s="50"/>
      <c r="N198" s="51"/>
      <c r="P198" s="89"/>
      <c r="V198" s="178"/>
      <c r="W198" s="201"/>
      <c r="Z198" s="52"/>
      <c r="AC198" s="1"/>
      <c r="AD198" s="178"/>
      <c r="AE198" s="201"/>
      <c r="AF198" s="4"/>
      <c r="AG198" s="5"/>
      <c r="AH198" s="52"/>
    </row>
    <row r="199" spans="1:34" ht="15.75" outlineLevel="1" x14ac:dyDescent="0.2">
      <c r="A199" s="193"/>
      <c r="B199" s="194"/>
      <c r="C199" s="206" t="s">
        <v>136</v>
      </c>
      <c r="D199" s="113">
        <f>[1]Quantaties!D21</f>
        <v>3142</v>
      </c>
      <c r="E199" s="113">
        <v>2066</v>
      </c>
      <c r="F199" s="113">
        <v>2066</v>
      </c>
      <c r="G199" s="127" t="s">
        <v>69</v>
      </c>
      <c r="H199" s="207">
        <v>150.83000000000001</v>
      </c>
      <c r="I199" s="72">
        <v>22.106999999999999</v>
      </c>
      <c r="J199" s="208">
        <f>+(D199*H199)</f>
        <v>473907.86000000004</v>
      </c>
      <c r="K199" s="94">
        <f>+(E199*H199)</f>
        <v>311614.78000000003</v>
      </c>
      <c r="L199" s="180">
        <f>+(F199*I199)</f>
        <v>45673.061999999998</v>
      </c>
      <c r="M199" s="209"/>
      <c r="N199" s="210"/>
      <c r="P199" s="89"/>
      <c r="V199" s="211"/>
      <c r="Z199" s="52"/>
      <c r="AA199" s="89"/>
      <c r="AB199" s="89"/>
      <c r="AC199" s="1"/>
      <c r="AD199" s="211"/>
      <c r="AE199" s="201"/>
      <c r="AF199" s="4"/>
      <c r="AG199" s="5"/>
      <c r="AH199" s="52"/>
    </row>
    <row r="200" spans="1:34" ht="15" outlineLevel="1" x14ac:dyDescent="0.2">
      <c r="A200" s="193"/>
      <c r="B200" s="194"/>
      <c r="C200" s="212" t="s">
        <v>137</v>
      </c>
      <c r="D200" s="159"/>
      <c r="E200" s="159"/>
      <c r="F200" s="159"/>
      <c r="G200" s="127"/>
      <c r="H200" s="72"/>
      <c r="I200" s="72"/>
      <c r="J200" s="73"/>
      <c r="K200" s="73"/>
      <c r="L200" s="88">
        <f t="shared" ref="L200:L205" si="21">H200*D200</f>
        <v>0</v>
      </c>
      <c r="M200" s="50"/>
      <c r="N200" s="51"/>
      <c r="P200" s="89"/>
      <c r="V200" s="213"/>
      <c r="W200" s="160"/>
      <c r="Z200" s="52"/>
      <c r="AC200" s="1"/>
      <c r="AD200" s="213"/>
      <c r="AE200" s="160"/>
      <c r="AF200" s="4"/>
      <c r="AG200" s="5"/>
      <c r="AH200" s="52"/>
    </row>
    <row r="201" spans="1:34" ht="15" outlineLevel="1" x14ac:dyDescent="0.2">
      <c r="A201" s="193"/>
      <c r="B201" s="194"/>
      <c r="C201" s="212" t="s">
        <v>138</v>
      </c>
      <c r="D201" s="214"/>
      <c r="E201" s="214"/>
      <c r="F201" s="214"/>
      <c r="G201" s="127"/>
      <c r="H201" s="72"/>
      <c r="I201" s="72"/>
      <c r="J201" s="73"/>
      <c r="K201" s="73"/>
      <c r="L201" s="88">
        <f t="shared" si="21"/>
        <v>0</v>
      </c>
      <c r="M201" s="50"/>
      <c r="N201" s="51"/>
      <c r="P201" s="89"/>
      <c r="V201" s="213"/>
      <c r="W201" s="215"/>
      <c r="Z201" s="52"/>
      <c r="AC201" s="1"/>
      <c r="AD201" s="213"/>
      <c r="AE201" s="215"/>
      <c r="AF201" s="4"/>
      <c r="AG201" s="5"/>
      <c r="AH201" s="52"/>
    </row>
    <row r="202" spans="1:34" ht="15" outlineLevel="1" x14ac:dyDescent="0.2">
      <c r="A202" s="193"/>
      <c r="B202" s="194"/>
      <c r="C202" s="212" t="s">
        <v>139</v>
      </c>
      <c r="D202" s="214"/>
      <c r="E202" s="214"/>
      <c r="F202" s="214"/>
      <c r="G202" s="127"/>
      <c r="H202" s="72"/>
      <c r="I202" s="72"/>
      <c r="J202" s="73"/>
      <c r="K202" s="73"/>
      <c r="L202" s="88">
        <f t="shared" si="21"/>
        <v>0</v>
      </c>
      <c r="M202" s="50"/>
      <c r="N202" s="51"/>
      <c r="P202" s="89"/>
      <c r="V202" s="213"/>
      <c r="W202" s="215"/>
      <c r="Z202" s="52"/>
      <c r="AC202" s="1"/>
      <c r="AD202" s="213"/>
      <c r="AE202" s="215"/>
      <c r="AF202" s="4"/>
      <c r="AG202" s="5"/>
      <c r="AH202" s="52"/>
    </row>
    <row r="203" spans="1:34" ht="15" outlineLevel="1" x14ac:dyDescent="0.25">
      <c r="A203" s="193"/>
      <c r="B203" s="194"/>
      <c r="C203" s="216"/>
      <c r="D203" s="159"/>
      <c r="E203" s="159"/>
      <c r="F203" s="159"/>
      <c r="G203" s="127"/>
      <c r="H203" s="72"/>
      <c r="I203" s="72"/>
      <c r="J203" s="73"/>
      <c r="K203" s="73"/>
      <c r="L203" s="88">
        <f t="shared" si="21"/>
        <v>0</v>
      </c>
      <c r="M203" s="50"/>
      <c r="N203" s="51"/>
      <c r="P203" s="89"/>
      <c r="V203" s="217"/>
      <c r="W203" s="160"/>
      <c r="Z203" s="52"/>
      <c r="AC203" s="1"/>
      <c r="AD203" s="217"/>
      <c r="AE203" s="160"/>
      <c r="AF203" s="4"/>
      <c r="AG203" s="5"/>
      <c r="AH203" s="52"/>
    </row>
    <row r="204" spans="1:34" ht="15" outlineLevel="1" x14ac:dyDescent="0.2">
      <c r="A204" s="193"/>
      <c r="B204" s="194"/>
      <c r="C204" s="212"/>
      <c r="D204" s="159"/>
      <c r="E204" s="159"/>
      <c r="F204" s="159"/>
      <c r="G204" s="127"/>
      <c r="H204" s="72"/>
      <c r="I204" s="72"/>
      <c r="J204" s="73"/>
      <c r="K204" s="73"/>
      <c r="L204" s="88">
        <f t="shared" si="21"/>
        <v>0</v>
      </c>
      <c r="M204" s="50"/>
      <c r="N204" s="51"/>
      <c r="P204" s="89"/>
      <c r="V204" s="213"/>
      <c r="W204" s="160"/>
      <c r="Z204" s="52"/>
      <c r="AC204" s="1"/>
      <c r="AD204" s="213"/>
      <c r="AE204" s="160"/>
      <c r="AF204" s="4"/>
      <c r="AG204" s="5"/>
      <c r="AH204" s="52"/>
    </row>
    <row r="205" spans="1:34" ht="15" outlineLevel="1" x14ac:dyDescent="0.2">
      <c r="A205" s="193"/>
      <c r="B205" s="194">
        <v>1</v>
      </c>
      <c r="C205" s="212"/>
      <c r="D205" s="159"/>
      <c r="E205" s="159"/>
      <c r="F205" s="159"/>
      <c r="G205" s="127"/>
      <c r="H205" s="72"/>
      <c r="I205" s="72"/>
      <c r="J205" s="73"/>
      <c r="K205" s="73"/>
      <c r="L205" s="88">
        <f t="shared" si="21"/>
        <v>0</v>
      </c>
      <c r="M205" s="50"/>
      <c r="N205" s="51"/>
      <c r="P205" s="89"/>
      <c r="V205" s="213"/>
      <c r="W205" s="160"/>
      <c r="Z205" s="52"/>
      <c r="AC205" s="1"/>
      <c r="AD205" s="213"/>
      <c r="AE205" s="160"/>
      <c r="AF205" s="4"/>
      <c r="AG205" s="5"/>
      <c r="AH205" s="52"/>
    </row>
    <row r="206" spans="1:34" ht="15" outlineLevel="1" x14ac:dyDescent="0.2">
      <c r="A206" s="193"/>
      <c r="B206" s="218"/>
      <c r="C206" s="219" t="s">
        <v>140</v>
      </c>
      <c r="D206" s="159"/>
      <c r="E206" s="159"/>
      <c r="F206" s="159"/>
      <c r="G206" s="127"/>
      <c r="H206" s="72"/>
      <c r="I206" s="72"/>
      <c r="J206" s="73"/>
      <c r="K206" s="73"/>
      <c r="L206" s="88"/>
      <c r="M206" s="50"/>
      <c r="N206" s="51"/>
      <c r="P206" s="89"/>
      <c r="U206" s="47"/>
      <c r="V206" s="213"/>
      <c r="W206" s="160"/>
      <c r="Z206" s="52"/>
      <c r="AC206" s="47"/>
      <c r="AD206" s="213"/>
      <c r="AE206" s="160"/>
      <c r="AF206" s="4"/>
      <c r="AG206" s="5"/>
      <c r="AH206" s="52"/>
    </row>
    <row r="207" spans="1:34" ht="15" outlineLevel="1" x14ac:dyDescent="0.2">
      <c r="A207" s="193"/>
      <c r="B207" s="218"/>
      <c r="C207" s="219" t="s">
        <v>141</v>
      </c>
      <c r="D207" s="159"/>
      <c r="E207" s="159"/>
      <c r="F207" s="159"/>
      <c r="G207" s="127"/>
      <c r="H207" s="72"/>
      <c r="I207" s="72"/>
      <c r="J207" s="73"/>
      <c r="K207" s="73"/>
      <c r="L207" s="88"/>
      <c r="M207" s="50"/>
      <c r="N207" s="51"/>
      <c r="P207" s="89"/>
      <c r="U207" s="47"/>
      <c r="V207" s="213"/>
      <c r="W207" s="160"/>
      <c r="Z207" s="52"/>
      <c r="AC207" s="47"/>
      <c r="AD207" s="213"/>
      <c r="AE207" s="160"/>
      <c r="AF207" s="4"/>
      <c r="AG207" s="5"/>
      <c r="AH207" s="52"/>
    </row>
    <row r="208" spans="1:34" ht="15" outlineLevel="1" x14ac:dyDescent="0.2">
      <c r="A208" s="193"/>
      <c r="B208" s="218"/>
      <c r="C208" s="220" t="s">
        <v>142</v>
      </c>
      <c r="D208" s="159"/>
      <c r="E208" s="159"/>
      <c r="F208" s="159"/>
      <c r="G208" s="127"/>
      <c r="H208" s="72"/>
      <c r="I208" s="72"/>
      <c r="J208" s="73"/>
      <c r="K208" s="73"/>
      <c r="L208" s="88"/>
      <c r="M208" s="50"/>
      <c r="N208" s="51"/>
      <c r="P208" s="89"/>
      <c r="U208" s="47"/>
      <c r="V208" s="213"/>
      <c r="W208" s="160"/>
      <c r="Z208" s="52"/>
      <c r="AC208" s="47"/>
      <c r="AD208" s="213"/>
      <c r="AE208" s="160"/>
      <c r="AF208" s="4"/>
      <c r="AG208" s="5"/>
      <c r="AH208" s="52"/>
    </row>
    <row r="209" spans="1:34" ht="15" outlineLevel="1" x14ac:dyDescent="0.2">
      <c r="A209" s="193"/>
      <c r="B209" s="218"/>
      <c r="C209" s="220" t="s">
        <v>143</v>
      </c>
      <c r="D209" s="159"/>
      <c r="E209" s="159"/>
      <c r="F209" s="159"/>
      <c r="G209" s="127"/>
      <c r="H209" s="72"/>
      <c r="I209" s="72"/>
      <c r="J209" s="73"/>
      <c r="K209" s="73"/>
      <c r="L209" s="88"/>
      <c r="M209" s="50"/>
      <c r="N209" s="51"/>
      <c r="P209" s="89"/>
      <c r="U209" s="47"/>
      <c r="V209" s="213"/>
      <c r="W209" s="160"/>
      <c r="Z209" s="52"/>
      <c r="AC209" s="47"/>
      <c r="AD209" s="213"/>
      <c r="AE209" s="160"/>
      <c r="AF209" s="4"/>
      <c r="AG209" s="5"/>
      <c r="AH209" s="52"/>
    </row>
    <row r="210" spans="1:34" ht="15" outlineLevel="1" x14ac:dyDescent="0.2">
      <c r="A210" s="193"/>
      <c r="B210" s="218"/>
      <c r="C210" s="220" t="s">
        <v>144</v>
      </c>
      <c r="D210" s="159"/>
      <c r="E210" s="159"/>
      <c r="F210" s="159"/>
      <c r="G210" s="127"/>
      <c r="H210" s="72"/>
      <c r="I210" s="72"/>
      <c r="J210" s="73"/>
      <c r="K210" s="73"/>
      <c r="L210" s="88"/>
      <c r="M210" s="50"/>
      <c r="N210" s="51"/>
      <c r="P210" s="89"/>
      <c r="U210" s="47"/>
      <c r="V210" s="213"/>
      <c r="W210" s="160"/>
      <c r="Z210" s="52"/>
      <c r="AC210" s="47"/>
      <c r="AD210" s="213"/>
      <c r="AE210" s="160"/>
      <c r="AF210" s="4"/>
      <c r="AG210" s="5"/>
      <c r="AH210" s="52"/>
    </row>
    <row r="211" spans="1:34" ht="15" outlineLevel="1" x14ac:dyDescent="0.2">
      <c r="A211" s="193"/>
      <c r="B211" s="218"/>
      <c r="C211" s="220" t="s">
        <v>145</v>
      </c>
      <c r="D211" s="159"/>
      <c r="E211" s="159"/>
      <c r="F211" s="159"/>
      <c r="G211" s="127"/>
      <c r="H211" s="72"/>
      <c r="I211" s="72"/>
      <c r="J211" s="73"/>
      <c r="K211" s="73"/>
      <c r="L211" s="88"/>
      <c r="M211" s="50"/>
      <c r="N211" s="51"/>
      <c r="P211" s="89"/>
      <c r="U211" s="47"/>
      <c r="V211" s="213"/>
      <c r="W211" s="160"/>
      <c r="Z211" s="52"/>
      <c r="AC211" s="47"/>
      <c r="AD211" s="213"/>
      <c r="AE211" s="160"/>
      <c r="AF211" s="4"/>
      <c r="AG211" s="5"/>
      <c r="AH211" s="52"/>
    </row>
    <row r="212" spans="1:34" ht="15" outlineLevel="1" x14ac:dyDescent="0.2">
      <c r="A212" s="193"/>
      <c r="B212" s="218"/>
      <c r="C212" s="212"/>
      <c r="D212" s="159"/>
      <c r="E212" s="159"/>
      <c r="F212" s="159"/>
      <c r="G212" s="127"/>
      <c r="H212" s="72"/>
      <c r="I212" s="72"/>
      <c r="J212" s="73"/>
      <c r="K212" s="73"/>
      <c r="L212" s="88"/>
      <c r="M212" s="50"/>
      <c r="N212" s="51"/>
      <c r="P212" s="89"/>
      <c r="U212" s="47"/>
      <c r="V212" s="213"/>
      <c r="W212" s="160"/>
      <c r="Z212" s="52"/>
      <c r="AC212" s="47"/>
      <c r="AD212" s="213"/>
      <c r="AE212" s="160"/>
      <c r="AF212" s="4"/>
      <c r="AG212" s="5"/>
      <c r="AH212" s="52"/>
    </row>
    <row r="213" spans="1:34" ht="15" outlineLevel="1" x14ac:dyDescent="0.2">
      <c r="A213" s="193"/>
      <c r="B213" s="218"/>
      <c r="C213" s="212"/>
      <c r="D213" s="159"/>
      <c r="E213" s="159"/>
      <c r="F213" s="159"/>
      <c r="G213" s="127"/>
      <c r="H213" s="72"/>
      <c r="I213" s="72"/>
      <c r="J213" s="73"/>
      <c r="K213" s="73"/>
      <c r="L213" s="88"/>
      <c r="M213" s="50"/>
      <c r="N213" s="51"/>
      <c r="P213" s="89"/>
      <c r="U213" s="47"/>
      <c r="V213" s="213"/>
      <c r="W213" s="160"/>
      <c r="Z213" s="52"/>
      <c r="AC213" s="47"/>
      <c r="AD213" s="213"/>
      <c r="AE213" s="160"/>
      <c r="AF213" s="221"/>
      <c r="AG213" s="5"/>
      <c r="AH213" s="52"/>
    </row>
    <row r="214" spans="1:34" ht="15" outlineLevel="1" x14ac:dyDescent="0.2">
      <c r="A214" s="193"/>
      <c r="B214" s="218"/>
      <c r="C214" s="212"/>
      <c r="D214" s="159"/>
      <c r="E214" s="159"/>
      <c r="F214" s="159"/>
      <c r="G214" s="127"/>
      <c r="H214" s="72"/>
      <c r="I214" s="72"/>
      <c r="J214" s="73"/>
      <c r="K214" s="73"/>
      <c r="L214" s="88"/>
      <c r="M214" s="50"/>
      <c r="N214" s="51"/>
      <c r="P214" s="89"/>
      <c r="U214" s="47"/>
      <c r="V214" s="213"/>
      <c r="W214" s="160"/>
      <c r="Z214" s="52"/>
      <c r="AC214" s="47"/>
      <c r="AD214" s="213"/>
      <c r="AE214" s="160"/>
      <c r="AF214" s="4"/>
      <c r="AG214" s="5"/>
      <c r="AH214" s="52"/>
    </row>
    <row r="215" spans="1:34" ht="15" outlineLevel="1" x14ac:dyDescent="0.2">
      <c r="A215" s="193"/>
      <c r="B215" s="218"/>
      <c r="C215" s="212"/>
      <c r="D215" s="159"/>
      <c r="E215" s="159"/>
      <c r="F215" s="159"/>
      <c r="G215" s="127"/>
      <c r="H215" s="72"/>
      <c r="I215" s="72"/>
      <c r="J215" s="73"/>
      <c r="K215" s="73"/>
      <c r="L215" s="88"/>
      <c r="M215" s="50"/>
      <c r="N215" s="51"/>
      <c r="P215" s="89"/>
      <c r="U215" s="47"/>
      <c r="V215" s="213"/>
      <c r="W215" s="160"/>
      <c r="Z215" s="52"/>
      <c r="AC215" s="47"/>
      <c r="AD215" s="213"/>
      <c r="AE215" s="160"/>
      <c r="AF215" s="4"/>
      <c r="AG215" s="5"/>
      <c r="AH215" s="52"/>
    </row>
    <row r="216" spans="1:34" ht="15" outlineLevel="1" x14ac:dyDescent="0.2">
      <c r="A216" s="193"/>
      <c r="B216" s="218"/>
      <c r="C216" s="212"/>
      <c r="D216" s="159"/>
      <c r="E216" s="159"/>
      <c r="F216" s="159"/>
      <c r="G216" s="127"/>
      <c r="H216" s="72"/>
      <c r="I216" s="72"/>
      <c r="J216" s="73"/>
      <c r="K216" s="73"/>
      <c r="L216" s="88"/>
      <c r="M216" s="50"/>
      <c r="N216" s="51"/>
      <c r="P216" s="89"/>
      <c r="U216" s="47"/>
      <c r="V216" s="213"/>
      <c r="W216" s="160"/>
      <c r="Z216" s="52"/>
      <c r="AC216" s="47"/>
      <c r="AD216" s="213"/>
      <c r="AE216" s="160"/>
      <c r="AF216" s="4"/>
      <c r="AG216" s="5"/>
      <c r="AH216" s="52"/>
    </row>
    <row r="217" spans="1:34" ht="15" outlineLevel="1" x14ac:dyDescent="0.2">
      <c r="A217" s="193"/>
      <c r="B217" s="218"/>
      <c r="C217" s="222"/>
      <c r="D217" s="159"/>
      <c r="E217" s="159"/>
      <c r="F217" s="159"/>
      <c r="G217" s="127"/>
      <c r="H217" s="72"/>
      <c r="I217" s="72"/>
      <c r="J217" s="73"/>
      <c r="K217" s="73"/>
      <c r="L217" s="88"/>
      <c r="M217" s="50"/>
      <c r="N217" s="51"/>
      <c r="P217" s="89"/>
      <c r="U217" s="47"/>
      <c r="V217" s="223"/>
      <c r="W217" s="160"/>
      <c r="Z217" s="52"/>
      <c r="AC217" s="47"/>
      <c r="AD217" s="223"/>
      <c r="AE217" s="160"/>
      <c r="AF217" s="4"/>
      <c r="AG217" s="5"/>
      <c r="AH217" s="52"/>
    </row>
    <row r="218" spans="1:34" outlineLevel="1" x14ac:dyDescent="0.2">
      <c r="A218" s="193"/>
      <c r="B218" s="218"/>
      <c r="C218" s="222"/>
      <c r="D218" s="159"/>
      <c r="E218" s="159"/>
      <c r="F218" s="159"/>
      <c r="G218" s="127"/>
      <c r="H218" s="72"/>
      <c r="I218" s="72"/>
      <c r="J218" s="72"/>
      <c r="K218" s="72"/>
      <c r="L218" s="224"/>
      <c r="M218" s="336" t="s">
        <v>215</v>
      </c>
      <c r="N218" s="51"/>
      <c r="P218" s="89"/>
      <c r="U218" s="47"/>
      <c r="V218" s="223"/>
      <c r="W218" s="160"/>
      <c r="Z218" s="52"/>
      <c r="AC218" s="47"/>
      <c r="AD218" s="223"/>
      <c r="AE218" s="160"/>
      <c r="AF218" s="4"/>
      <c r="AG218" s="5"/>
      <c r="AH218" s="52"/>
    </row>
    <row r="219" spans="1:34" ht="14.25" outlineLevel="1" thickBot="1" x14ac:dyDescent="0.3">
      <c r="A219" s="193"/>
      <c r="B219" s="194"/>
      <c r="C219" s="110"/>
      <c r="D219" s="159"/>
      <c r="E219" s="159"/>
      <c r="F219" s="159"/>
      <c r="G219" s="225"/>
      <c r="H219" s="226"/>
      <c r="I219" s="226"/>
      <c r="J219" s="20"/>
      <c r="K219" s="20"/>
      <c r="L219" s="227"/>
      <c r="M219" s="336"/>
      <c r="N219" s="51"/>
      <c r="P219" s="89"/>
      <c r="W219" s="160"/>
      <c r="Z219" s="52"/>
      <c r="AC219" s="1"/>
      <c r="AE219" s="160"/>
      <c r="AF219" s="4"/>
      <c r="AG219" s="5"/>
      <c r="AH219" s="52"/>
    </row>
    <row r="220" spans="1:34" ht="15.75" thickBot="1" x14ac:dyDescent="0.3">
      <c r="A220" s="193"/>
      <c r="B220" s="194"/>
      <c r="C220" s="228"/>
      <c r="D220" s="113"/>
      <c r="G220" s="305" t="s">
        <v>146</v>
      </c>
      <c r="H220" s="306"/>
      <c r="I220" s="229"/>
      <c r="J220" s="230">
        <f>+SUM(J195:J218)</f>
        <v>475157.86000000004</v>
      </c>
      <c r="K220" s="230">
        <f>+SUM(K195:K218)</f>
        <v>312864.78000000003</v>
      </c>
      <c r="L220" s="117">
        <f>+SUM(L195:L218)</f>
        <v>46923.061999999998</v>
      </c>
      <c r="M220" s="336"/>
      <c r="N220" s="51"/>
      <c r="P220" s="89"/>
      <c r="X220" s="296"/>
      <c r="Y220" s="296"/>
      <c r="Z220" s="119"/>
      <c r="AA220" s="119"/>
      <c r="AB220" s="119"/>
      <c r="AC220" s="1"/>
      <c r="AE220" s="3"/>
      <c r="AF220" s="296"/>
      <c r="AG220" s="296"/>
      <c r="AH220" s="119"/>
    </row>
    <row r="221" spans="1:34" ht="15.75" thickBot="1" x14ac:dyDescent="0.3">
      <c r="A221" s="193"/>
      <c r="B221" s="231"/>
      <c r="C221" s="121"/>
      <c r="D221" s="122"/>
      <c r="E221" s="123"/>
      <c r="F221" s="123"/>
      <c r="G221" s="299" t="s">
        <v>131</v>
      </c>
      <c r="H221" s="300"/>
      <c r="I221" s="191"/>
      <c r="J221" s="191"/>
      <c r="K221" s="191"/>
      <c r="L221" s="125">
        <f>L220</f>
        <v>46923.061999999998</v>
      </c>
      <c r="M221" s="336"/>
      <c r="N221" s="51"/>
      <c r="P221" s="89"/>
      <c r="X221" s="296"/>
      <c r="Y221" s="296"/>
      <c r="Z221" s="119"/>
      <c r="AA221" s="119"/>
      <c r="AB221" s="119"/>
      <c r="AC221" s="1"/>
      <c r="AE221" s="3"/>
      <c r="AF221" s="296"/>
      <c r="AG221" s="296"/>
      <c r="AH221" s="119"/>
    </row>
    <row r="222" spans="1:34" ht="15.75" thickBot="1" x14ac:dyDescent="0.3">
      <c r="A222" s="193"/>
      <c r="B222" s="194"/>
      <c r="C222" s="110"/>
      <c r="D222" s="128"/>
      <c r="G222" s="118"/>
      <c r="H222" s="118"/>
      <c r="I222" s="118"/>
      <c r="J222" s="118"/>
      <c r="K222" s="118"/>
      <c r="L222" s="232"/>
      <c r="M222" s="336"/>
      <c r="N222" s="51"/>
      <c r="P222" s="89"/>
      <c r="X222" s="118"/>
      <c r="Y222" s="118"/>
      <c r="Z222" s="119"/>
      <c r="AA222" s="119"/>
      <c r="AB222" s="119"/>
      <c r="AC222" s="1"/>
      <c r="AE222" s="3"/>
      <c r="AF222" s="118"/>
      <c r="AG222" s="118"/>
      <c r="AH222" s="119"/>
    </row>
    <row r="223" spans="1:34" ht="30.75" thickBot="1" x14ac:dyDescent="0.3">
      <c r="A223" s="193"/>
      <c r="B223" s="233"/>
      <c r="C223" s="234"/>
      <c r="D223" s="55" t="s">
        <v>11</v>
      </c>
      <c r="E223" s="55" t="s">
        <v>213</v>
      </c>
      <c r="F223" s="55" t="s">
        <v>12</v>
      </c>
      <c r="G223" s="54"/>
      <c r="H223" s="54" t="s">
        <v>28</v>
      </c>
      <c r="I223" s="54" t="s">
        <v>29</v>
      </c>
      <c r="J223" s="55" t="s">
        <v>11</v>
      </c>
      <c r="K223" s="55" t="s">
        <v>213</v>
      </c>
      <c r="L223" s="56" t="s">
        <v>12</v>
      </c>
      <c r="M223" s="336"/>
      <c r="N223" s="51"/>
      <c r="P223" s="89"/>
      <c r="U223" s="104"/>
      <c r="V223" s="235"/>
      <c r="W223" s="92"/>
      <c r="X223" s="236"/>
      <c r="Z223" s="52"/>
      <c r="AC223" s="104"/>
      <c r="AD223" s="235"/>
      <c r="AE223" s="92"/>
      <c r="AF223" s="236"/>
      <c r="AG223" s="5"/>
      <c r="AH223" s="52"/>
    </row>
    <row r="224" spans="1:34" ht="15" x14ac:dyDescent="0.25">
      <c r="B224" s="130" t="s">
        <v>30</v>
      </c>
      <c r="C224" s="131" t="s">
        <v>31</v>
      </c>
      <c r="D224" s="64" t="s">
        <v>32</v>
      </c>
      <c r="E224" s="64" t="s">
        <v>32</v>
      </c>
      <c r="F224" s="64" t="s">
        <v>32</v>
      </c>
      <c r="G224" s="63" t="s">
        <v>33</v>
      </c>
      <c r="H224" s="65" t="s">
        <v>34</v>
      </c>
      <c r="I224" s="65" t="s">
        <v>34</v>
      </c>
      <c r="J224" s="66" t="s">
        <v>14</v>
      </c>
      <c r="K224" s="66" t="s">
        <v>14</v>
      </c>
      <c r="L224" s="67" t="s">
        <v>14</v>
      </c>
      <c r="M224" s="50"/>
      <c r="N224" s="51"/>
      <c r="P224" s="89"/>
      <c r="U224" s="58"/>
      <c r="V224" s="47"/>
      <c r="W224" s="13"/>
      <c r="X224" s="47"/>
      <c r="Y224" s="10"/>
      <c r="Z224" s="61"/>
      <c r="AC224" s="58"/>
      <c r="AD224" s="47"/>
      <c r="AE224" s="13"/>
      <c r="AF224" s="47"/>
      <c r="AG224" s="10"/>
      <c r="AH224" s="61"/>
    </row>
    <row r="225" spans="2:34" ht="15" x14ac:dyDescent="0.25">
      <c r="B225" s="68"/>
      <c r="C225" s="132"/>
      <c r="D225" s="133"/>
      <c r="E225" s="133"/>
      <c r="F225" s="133"/>
      <c r="G225" s="132"/>
      <c r="H225" s="134"/>
      <c r="I225" s="134"/>
      <c r="J225" s="135"/>
      <c r="K225" s="135"/>
      <c r="L225" s="74"/>
      <c r="M225" s="50"/>
      <c r="N225" s="51"/>
      <c r="P225" s="89"/>
      <c r="U225" s="58"/>
      <c r="V225" s="47"/>
      <c r="W225" s="13"/>
      <c r="X225" s="47"/>
      <c r="Y225" s="10"/>
      <c r="Z225" s="61"/>
      <c r="AC225" s="58"/>
      <c r="AD225" s="47"/>
      <c r="AE225" s="13"/>
      <c r="AF225" s="47"/>
      <c r="AG225" s="10"/>
      <c r="AH225" s="61"/>
    </row>
    <row r="226" spans="2:34" ht="15" x14ac:dyDescent="0.25">
      <c r="B226" s="237">
        <v>7</v>
      </c>
      <c r="C226" s="79" t="s">
        <v>21</v>
      </c>
      <c r="D226" s="238"/>
      <c r="E226" s="238"/>
      <c r="F226" s="238"/>
      <c r="G226" s="239"/>
      <c r="H226" s="72"/>
      <c r="I226" s="72"/>
      <c r="J226" s="73"/>
      <c r="K226" s="73"/>
      <c r="L226" s="240"/>
      <c r="M226" s="50"/>
      <c r="N226" s="51"/>
      <c r="P226" s="89"/>
      <c r="U226" s="241"/>
      <c r="V226" s="81"/>
      <c r="W226" s="242"/>
      <c r="X226" s="243"/>
      <c r="Z226" s="61"/>
      <c r="AC226" s="241"/>
      <c r="AD226" s="81"/>
      <c r="AE226" s="242"/>
      <c r="AF226" s="243"/>
      <c r="AG226" s="5"/>
      <c r="AH226" s="61"/>
    </row>
    <row r="227" spans="2:34" ht="15" outlineLevel="1" x14ac:dyDescent="0.25">
      <c r="B227" s="237"/>
      <c r="C227" s="79"/>
      <c r="D227" s="238"/>
      <c r="E227" s="238"/>
      <c r="F227" s="238"/>
      <c r="G227" s="239"/>
      <c r="H227" s="72"/>
      <c r="I227" s="72"/>
      <c r="J227" s="73"/>
      <c r="K227" s="73"/>
      <c r="L227" s="240"/>
      <c r="M227" s="50"/>
      <c r="N227" s="51"/>
      <c r="P227" s="89"/>
      <c r="U227" s="241"/>
      <c r="V227" s="81"/>
      <c r="W227" s="242"/>
      <c r="X227" s="243"/>
      <c r="Z227" s="61"/>
      <c r="AC227" s="241"/>
      <c r="AD227" s="81"/>
      <c r="AE227" s="242"/>
      <c r="AF227" s="243"/>
      <c r="AG227" s="5"/>
      <c r="AH227" s="61"/>
    </row>
    <row r="228" spans="2:34" ht="30" outlineLevel="1" x14ac:dyDescent="0.25">
      <c r="B228" s="237"/>
      <c r="C228" s="79" t="s">
        <v>147</v>
      </c>
      <c r="D228" s="238"/>
      <c r="E228" s="238"/>
      <c r="F228" s="238"/>
      <c r="G228" s="239"/>
      <c r="H228" s="72"/>
      <c r="I228" s="72"/>
      <c r="J228" s="73"/>
      <c r="K228" s="73"/>
      <c r="L228" s="240"/>
      <c r="M228" s="50"/>
      <c r="N228" s="51"/>
      <c r="P228" s="89"/>
      <c r="U228" s="241"/>
      <c r="V228" s="81"/>
      <c r="W228" s="242"/>
      <c r="X228" s="243"/>
      <c r="Z228" s="61"/>
      <c r="AC228" s="241"/>
      <c r="AD228" s="81"/>
      <c r="AE228" s="242"/>
      <c r="AF228" s="243"/>
      <c r="AG228" s="5"/>
      <c r="AH228" s="61"/>
    </row>
    <row r="229" spans="2:34" ht="15" outlineLevel="1" x14ac:dyDescent="0.25">
      <c r="B229" s="109"/>
      <c r="C229" s="204"/>
      <c r="D229" s="133"/>
      <c r="E229" s="133"/>
      <c r="F229" s="133"/>
      <c r="G229" s="132"/>
      <c r="H229" s="72"/>
      <c r="I229" s="72"/>
      <c r="J229" s="73"/>
      <c r="K229" s="73"/>
      <c r="L229" s="88">
        <f>G229*H229</f>
        <v>0</v>
      </c>
      <c r="M229" s="50"/>
      <c r="N229" s="51"/>
      <c r="P229" s="89"/>
      <c r="V229" s="205"/>
      <c r="W229" s="13"/>
      <c r="X229" s="47"/>
      <c r="Z229" s="52"/>
      <c r="AC229" s="1"/>
      <c r="AD229" s="205"/>
      <c r="AE229" s="13"/>
      <c r="AF229" s="47"/>
      <c r="AG229" s="5"/>
      <c r="AH229" s="52"/>
    </row>
    <row r="230" spans="2:34" ht="15" outlineLevel="1" x14ac:dyDescent="0.25">
      <c r="B230" s="109"/>
      <c r="C230" s="204"/>
      <c r="D230" s="133"/>
      <c r="E230" s="133"/>
      <c r="F230" s="133"/>
      <c r="G230" s="132"/>
      <c r="H230" s="72"/>
      <c r="I230" s="72"/>
      <c r="J230" s="73"/>
      <c r="K230" s="73"/>
      <c r="L230" s="88"/>
      <c r="M230" s="50"/>
      <c r="N230" s="51"/>
      <c r="P230" s="89"/>
      <c r="V230" s="205"/>
      <c r="W230" s="13"/>
      <c r="X230" s="47"/>
      <c r="Z230" s="52"/>
      <c r="AC230" s="1"/>
      <c r="AD230" s="205"/>
      <c r="AE230" s="13"/>
      <c r="AF230" s="47"/>
      <c r="AG230" s="5"/>
      <c r="AH230" s="52"/>
    </row>
    <row r="231" spans="2:34" ht="31.5" outlineLevel="1" x14ac:dyDescent="0.25">
      <c r="B231" s="109"/>
      <c r="C231" s="244" t="s">
        <v>148</v>
      </c>
      <c r="D231" s="133"/>
      <c r="E231" s="133"/>
      <c r="F231" s="133"/>
      <c r="G231" s="132"/>
      <c r="H231" s="72"/>
      <c r="I231" s="72"/>
      <c r="J231" s="73"/>
      <c r="K231" s="73"/>
      <c r="L231" s="88"/>
      <c r="M231" s="50"/>
      <c r="N231" s="51"/>
      <c r="P231" s="89"/>
      <c r="V231" s="245"/>
      <c r="W231" s="13"/>
      <c r="X231" s="47"/>
      <c r="Z231" s="52"/>
      <c r="AC231" s="1"/>
      <c r="AD231" s="245"/>
      <c r="AE231" s="13"/>
      <c r="AF231" s="47"/>
      <c r="AG231" s="5"/>
      <c r="AH231" s="52"/>
    </row>
    <row r="232" spans="2:34" ht="15" outlineLevel="1" x14ac:dyDescent="0.25">
      <c r="B232" s="109"/>
      <c r="C232" s="204"/>
      <c r="D232" s="133"/>
      <c r="E232" s="133"/>
      <c r="F232" s="133"/>
      <c r="G232" s="132"/>
      <c r="H232" s="72"/>
      <c r="I232" s="72"/>
      <c r="J232" s="73"/>
      <c r="K232" s="73"/>
      <c r="L232" s="88"/>
      <c r="M232" s="50"/>
      <c r="N232" s="51"/>
      <c r="P232" s="89"/>
      <c r="V232" s="205"/>
      <c r="W232" s="13"/>
      <c r="X232" s="47"/>
      <c r="Z232" s="52"/>
      <c r="AC232" s="1"/>
      <c r="AD232" s="205"/>
      <c r="AE232" s="13"/>
      <c r="AF232" s="47"/>
      <c r="AG232" s="5"/>
      <c r="AH232" s="52"/>
    </row>
    <row r="233" spans="2:34" ht="15" outlineLevel="1" x14ac:dyDescent="0.25">
      <c r="B233" s="109"/>
      <c r="C233" s="204"/>
      <c r="D233" s="113"/>
      <c r="E233" s="113"/>
      <c r="F233" s="113"/>
      <c r="G233" s="127"/>
      <c r="H233" s="72"/>
      <c r="I233" s="72"/>
      <c r="J233" s="73"/>
      <c r="K233" s="73"/>
      <c r="L233" s="88">
        <f>D233*H233</f>
        <v>0</v>
      </c>
      <c r="M233" s="50"/>
      <c r="N233" s="51">
        <f t="shared" ref="N233:N296" si="22">K233-J233</f>
        <v>0</v>
      </c>
      <c r="P233" s="89"/>
      <c r="V233" s="205"/>
      <c r="Z233" s="52"/>
      <c r="AC233" s="1"/>
      <c r="AD233" s="205"/>
      <c r="AE233" s="3"/>
      <c r="AF233" s="4"/>
      <c r="AG233" s="5"/>
      <c r="AH233" s="52"/>
    </row>
    <row r="234" spans="2:34" ht="15" outlineLevel="1" x14ac:dyDescent="0.25">
      <c r="B234" s="109"/>
      <c r="C234" s="82" t="s">
        <v>149</v>
      </c>
      <c r="D234" s="113"/>
      <c r="E234" s="113"/>
      <c r="F234" s="113"/>
      <c r="G234" s="146"/>
      <c r="H234" s="72"/>
      <c r="I234" s="72"/>
      <c r="J234" s="73"/>
      <c r="K234" s="73"/>
      <c r="L234" s="88">
        <f>D234*H234</f>
        <v>0</v>
      </c>
      <c r="M234" s="50"/>
      <c r="N234" s="51">
        <f t="shared" si="22"/>
        <v>0</v>
      </c>
      <c r="P234" s="89"/>
      <c r="V234" s="83"/>
      <c r="X234" s="148"/>
      <c r="Z234" s="52"/>
      <c r="AC234" s="1"/>
      <c r="AD234" s="83"/>
      <c r="AE234" s="3"/>
      <c r="AF234" s="148"/>
      <c r="AG234" s="5"/>
      <c r="AH234" s="52"/>
    </row>
    <row r="235" spans="2:34" ht="15" outlineLevel="1" x14ac:dyDescent="0.25">
      <c r="B235" s="109"/>
      <c r="C235" s="246"/>
      <c r="D235" s="113"/>
      <c r="E235" s="113"/>
      <c r="F235" s="113"/>
      <c r="G235" s="146"/>
      <c r="H235" s="72"/>
      <c r="I235" s="72"/>
      <c r="J235" s="73"/>
      <c r="K235" s="73"/>
      <c r="L235" s="88"/>
      <c r="M235" s="50"/>
      <c r="N235" s="51">
        <f t="shared" si="22"/>
        <v>0</v>
      </c>
      <c r="P235" s="89"/>
      <c r="V235" s="12"/>
      <c r="X235" s="148"/>
      <c r="Z235" s="52"/>
      <c r="AC235" s="1"/>
      <c r="AD235" s="12"/>
      <c r="AE235" s="3"/>
      <c r="AF235" s="148"/>
      <c r="AG235" s="5"/>
      <c r="AH235" s="52"/>
    </row>
    <row r="236" spans="2:34" ht="27" outlineLevel="1" x14ac:dyDescent="0.25">
      <c r="B236" s="109">
        <v>2</v>
      </c>
      <c r="C236" s="110" t="s">
        <v>150</v>
      </c>
      <c r="D236" s="113">
        <f>[1]Quantaties!D44</f>
        <v>90</v>
      </c>
      <c r="E236" s="113">
        <v>90</v>
      </c>
      <c r="F236" s="113">
        <v>90</v>
      </c>
      <c r="G236" s="146" t="s">
        <v>76</v>
      </c>
      <c r="H236" s="72">
        <v>1300</v>
      </c>
      <c r="I236" s="72">
        <v>1450</v>
      </c>
      <c r="J236" s="73">
        <f t="shared" ref="J236:J242" si="23">+(D236*H236)</f>
        <v>117000</v>
      </c>
      <c r="K236" s="73">
        <f t="shared" ref="K236:L242" si="24">+(E236*H236)</f>
        <v>117000</v>
      </c>
      <c r="L236" s="88">
        <f t="shared" si="24"/>
        <v>130500</v>
      </c>
      <c r="M236" s="50"/>
      <c r="N236" s="51">
        <f t="shared" si="22"/>
        <v>0</v>
      </c>
      <c r="P236" s="89"/>
      <c r="X236" s="148"/>
      <c r="Z236" s="52"/>
      <c r="AA236" s="89"/>
      <c r="AB236" s="89"/>
      <c r="AC236" s="1"/>
      <c r="AE236" s="3"/>
      <c r="AF236" s="148"/>
      <c r="AG236" s="5"/>
      <c r="AH236" s="52"/>
    </row>
    <row r="237" spans="2:34" ht="27" outlineLevel="1" x14ac:dyDescent="0.25">
      <c r="B237" s="109">
        <v>4</v>
      </c>
      <c r="C237" s="110" t="s">
        <v>151</v>
      </c>
      <c r="D237" s="113">
        <f>[1]Quantaties!D45</f>
        <v>0</v>
      </c>
      <c r="E237" s="113"/>
      <c r="F237" s="113">
        <v>41</v>
      </c>
      <c r="G237" s="146" t="s">
        <v>76</v>
      </c>
      <c r="H237" s="72">
        <v>1300</v>
      </c>
      <c r="I237" s="72">
        <v>1450</v>
      </c>
      <c r="J237" s="73">
        <f t="shared" si="23"/>
        <v>0</v>
      </c>
      <c r="K237" s="73">
        <f t="shared" si="24"/>
        <v>0</v>
      </c>
      <c r="L237" s="88">
        <f t="shared" si="24"/>
        <v>59450</v>
      </c>
      <c r="M237" s="50"/>
      <c r="N237" s="51">
        <f t="shared" si="22"/>
        <v>0</v>
      </c>
      <c r="P237" s="89"/>
      <c r="X237" s="148"/>
      <c r="Z237" s="52"/>
      <c r="AA237" s="89"/>
      <c r="AB237" s="89"/>
      <c r="AC237" s="1"/>
      <c r="AE237" s="3"/>
      <c r="AF237" s="148"/>
      <c r="AG237" s="5"/>
      <c r="AH237" s="52"/>
    </row>
    <row r="238" spans="2:34" ht="27" outlineLevel="1" x14ac:dyDescent="0.25">
      <c r="B238" s="109">
        <v>5</v>
      </c>
      <c r="C238" s="110" t="s">
        <v>152</v>
      </c>
      <c r="D238" s="113">
        <f>[1]Quantaties!D47</f>
        <v>56</v>
      </c>
      <c r="E238" s="291">
        <v>56</v>
      </c>
      <c r="F238" s="113">
        <v>56</v>
      </c>
      <c r="G238" s="146" t="s">
        <v>76</v>
      </c>
      <c r="H238" s="72">
        <v>1300</v>
      </c>
      <c r="I238" s="72">
        <v>1450</v>
      </c>
      <c r="J238" s="73">
        <f t="shared" si="23"/>
        <v>72800</v>
      </c>
      <c r="K238" s="73">
        <f t="shared" si="24"/>
        <v>72800</v>
      </c>
      <c r="L238" s="88">
        <f t="shared" si="24"/>
        <v>81200</v>
      </c>
      <c r="M238" s="50"/>
      <c r="N238" s="51">
        <f t="shared" si="22"/>
        <v>0</v>
      </c>
      <c r="P238" s="89"/>
      <c r="X238" s="148"/>
      <c r="Z238" s="52"/>
      <c r="AA238" s="89"/>
      <c r="AB238" s="89"/>
      <c r="AC238" s="1"/>
      <c r="AE238" s="3"/>
      <c r="AF238" s="148"/>
      <c r="AG238" s="5"/>
      <c r="AH238" s="52"/>
    </row>
    <row r="239" spans="2:34" ht="25.5" customHeight="1" outlineLevel="1" x14ac:dyDescent="0.25">
      <c r="B239" s="109">
        <v>6</v>
      </c>
      <c r="C239" s="110" t="s">
        <v>153</v>
      </c>
      <c r="D239" s="113">
        <f>SUM(D236:D238)*0.075</f>
        <v>10.95</v>
      </c>
      <c r="E239" s="113">
        <v>14</v>
      </c>
      <c r="F239" s="113">
        <v>14.025</v>
      </c>
      <c r="G239" s="127" t="s">
        <v>69</v>
      </c>
      <c r="H239" s="72">
        <v>1300</v>
      </c>
      <c r="I239" s="72">
        <v>1250</v>
      </c>
      <c r="J239" s="73">
        <f t="shared" si="23"/>
        <v>14234.999999999998</v>
      </c>
      <c r="K239" s="73">
        <f t="shared" si="24"/>
        <v>18200</v>
      </c>
      <c r="L239" s="88">
        <f t="shared" si="24"/>
        <v>17531.25</v>
      </c>
      <c r="M239" s="50"/>
      <c r="N239" s="51">
        <f t="shared" si="22"/>
        <v>3965.0000000000018</v>
      </c>
      <c r="P239" s="89"/>
      <c r="Z239" s="52"/>
      <c r="AA239" s="89"/>
      <c r="AB239" s="89"/>
      <c r="AC239" s="1"/>
      <c r="AE239" s="3"/>
      <c r="AF239" s="4"/>
      <c r="AG239" s="5"/>
      <c r="AH239" s="52"/>
    </row>
    <row r="240" spans="2:34" ht="27" outlineLevel="1" x14ac:dyDescent="0.25">
      <c r="B240" s="109">
        <v>7</v>
      </c>
      <c r="C240" s="110" t="s">
        <v>154</v>
      </c>
      <c r="D240" s="113">
        <f>[1]Quantaties!D50</f>
        <v>0</v>
      </c>
      <c r="E240" s="113">
        <v>0</v>
      </c>
      <c r="F240" s="113">
        <v>0</v>
      </c>
      <c r="G240" s="146" t="s">
        <v>76</v>
      </c>
      <c r="H240" s="72">
        <v>1300</v>
      </c>
      <c r="I240" s="72">
        <v>1450</v>
      </c>
      <c r="J240" s="73">
        <f t="shared" si="23"/>
        <v>0</v>
      </c>
      <c r="K240" s="73">
        <f t="shared" si="24"/>
        <v>0</v>
      </c>
      <c r="L240" s="88">
        <f t="shared" si="24"/>
        <v>0</v>
      </c>
      <c r="M240" s="209"/>
      <c r="N240" s="51">
        <f t="shared" si="22"/>
        <v>0</v>
      </c>
      <c r="P240" s="89"/>
      <c r="X240" s="148"/>
      <c r="Z240" s="52"/>
      <c r="AA240" s="89"/>
      <c r="AB240" s="89"/>
      <c r="AC240" s="1"/>
      <c r="AE240" s="3"/>
      <c r="AF240" s="148"/>
      <c r="AG240" s="5"/>
      <c r="AH240" s="52"/>
    </row>
    <row r="241" spans="2:34" ht="15" outlineLevel="1" x14ac:dyDescent="0.25">
      <c r="B241" s="109"/>
      <c r="C241" s="110" t="s">
        <v>155</v>
      </c>
      <c r="D241" s="114">
        <f>40+14</f>
        <v>54</v>
      </c>
      <c r="E241" s="114">
        <v>54</v>
      </c>
      <c r="F241" s="247"/>
      <c r="G241" s="146" t="s">
        <v>76</v>
      </c>
      <c r="H241" s="72">
        <v>1000</v>
      </c>
      <c r="I241" s="248"/>
      <c r="J241" s="73">
        <f t="shared" si="23"/>
        <v>54000</v>
      </c>
      <c r="K241" s="73">
        <f t="shared" si="24"/>
        <v>54000</v>
      </c>
      <c r="L241" s="180">
        <f t="shared" si="24"/>
        <v>0</v>
      </c>
      <c r="M241" s="209"/>
      <c r="N241" s="51">
        <f t="shared" si="22"/>
        <v>0</v>
      </c>
      <c r="P241" s="89"/>
      <c r="X241" s="148"/>
      <c r="Z241" s="52"/>
      <c r="AA241" s="89"/>
      <c r="AB241" s="89"/>
      <c r="AC241" s="1"/>
      <c r="AE241" s="3"/>
      <c r="AF241" s="148"/>
      <c r="AG241" s="5"/>
      <c r="AH241" s="52"/>
    </row>
    <row r="242" spans="2:34" ht="15" outlineLevel="1" x14ac:dyDescent="0.25">
      <c r="B242" s="109"/>
      <c r="C242" s="110" t="s">
        <v>156</v>
      </c>
      <c r="D242" s="114">
        <v>43</v>
      </c>
      <c r="E242" s="114">
        <v>43</v>
      </c>
      <c r="F242" s="247"/>
      <c r="G242" s="146" t="s">
        <v>76</v>
      </c>
      <c r="H242" s="72">
        <v>1100</v>
      </c>
      <c r="I242" s="248"/>
      <c r="J242" s="73">
        <f t="shared" si="23"/>
        <v>47300</v>
      </c>
      <c r="K242" s="73">
        <f t="shared" si="24"/>
        <v>47300</v>
      </c>
      <c r="L242" s="180">
        <f t="shared" si="24"/>
        <v>0</v>
      </c>
      <c r="M242" s="209"/>
      <c r="N242" s="51">
        <f t="shared" si="22"/>
        <v>0</v>
      </c>
      <c r="P242" s="89"/>
      <c r="X242" s="148"/>
      <c r="Z242" s="52"/>
      <c r="AA242" s="89"/>
      <c r="AB242" s="89"/>
      <c r="AC242" s="1"/>
      <c r="AE242" s="3"/>
      <c r="AF242" s="148"/>
      <c r="AG242" s="5"/>
      <c r="AH242" s="52"/>
    </row>
    <row r="243" spans="2:34" ht="15" outlineLevel="1" x14ac:dyDescent="0.25">
      <c r="B243" s="109"/>
      <c r="C243" s="110"/>
      <c r="D243" s="114"/>
      <c r="E243" s="114"/>
      <c r="F243" s="247"/>
      <c r="G243" s="146"/>
      <c r="H243" s="72"/>
      <c r="I243" s="248"/>
      <c r="J243" s="73"/>
      <c r="K243" s="73"/>
      <c r="L243" s="180"/>
      <c r="M243" s="209"/>
      <c r="N243" s="51">
        <f t="shared" si="22"/>
        <v>0</v>
      </c>
      <c r="P243" s="89"/>
      <c r="X243" s="148"/>
      <c r="Z243" s="52"/>
      <c r="AA243" s="89"/>
      <c r="AB243" s="89"/>
      <c r="AC243" s="1"/>
      <c r="AE243" s="3"/>
      <c r="AF243" s="148"/>
      <c r="AG243" s="5"/>
      <c r="AH243" s="52"/>
    </row>
    <row r="244" spans="2:34" ht="15" outlineLevel="1" x14ac:dyDescent="0.25">
      <c r="B244" s="109"/>
      <c r="C244" s="249" t="s">
        <v>157</v>
      </c>
      <c r="D244" s="114"/>
      <c r="E244" s="114"/>
      <c r="F244" s="114"/>
      <c r="G244" s="146"/>
      <c r="H244" s="72"/>
      <c r="I244" s="72"/>
      <c r="J244" s="73"/>
      <c r="K244" s="73"/>
      <c r="L244" s="88"/>
      <c r="M244" s="209"/>
      <c r="N244" s="51">
        <f t="shared" si="22"/>
        <v>0</v>
      </c>
      <c r="P244" s="89"/>
      <c r="V244" s="12"/>
      <c r="X244" s="148"/>
      <c r="Z244" s="52"/>
      <c r="AC244" s="1"/>
      <c r="AD244" s="12"/>
      <c r="AE244" s="3"/>
      <c r="AF244" s="148"/>
      <c r="AG244" s="5"/>
      <c r="AH244" s="52"/>
    </row>
    <row r="245" spans="2:34" ht="15" outlineLevel="1" x14ac:dyDescent="0.25">
      <c r="B245" s="109"/>
      <c r="C245" s="110"/>
      <c r="D245" s="114"/>
      <c r="E245" s="114"/>
      <c r="F245" s="114"/>
      <c r="G245" s="146"/>
      <c r="H245" s="72"/>
      <c r="I245" s="72"/>
      <c r="J245" s="73"/>
      <c r="K245" s="73"/>
      <c r="L245" s="88"/>
      <c r="M245" s="50"/>
      <c r="N245" s="51">
        <f t="shared" si="22"/>
        <v>0</v>
      </c>
      <c r="P245" s="89"/>
      <c r="V245" s="12"/>
      <c r="X245" s="148"/>
      <c r="Z245" s="52"/>
      <c r="AC245" s="1"/>
      <c r="AD245" s="12"/>
      <c r="AE245" s="3"/>
      <c r="AF245" s="148"/>
      <c r="AG245" s="5"/>
      <c r="AH245" s="52"/>
    </row>
    <row r="246" spans="2:34" ht="15" outlineLevel="1" x14ac:dyDescent="0.25">
      <c r="B246" s="109"/>
      <c r="C246" s="82" t="s">
        <v>158</v>
      </c>
      <c r="D246" s="113"/>
      <c r="E246" s="113"/>
      <c r="F246" s="113"/>
      <c r="G246" s="146"/>
      <c r="H246" s="72"/>
      <c r="I246" s="72"/>
      <c r="J246" s="73"/>
      <c r="K246" s="73"/>
      <c r="L246" s="88">
        <f>D246*H246</f>
        <v>0</v>
      </c>
      <c r="M246" s="50"/>
      <c r="N246" s="51">
        <f t="shared" si="22"/>
        <v>0</v>
      </c>
      <c r="P246" s="89"/>
      <c r="V246" s="83"/>
      <c r="X246" s="148"/>
      <c r="Z246" s="52"/>
      <c r="AC246" s="1"/>
      <c r="AD246" s="83"/>
      <c r="AE246" s="3"/>
      <c r="AF246" s="148"/>
      <c r="AG246" s="5"/>
      <c r="AH246" s="52"/>
    </row>
    <row r="247" spans="2:34" ht="15" outlineLevel="1" x14ac:dyDescent="0.25">
      <c r="B247" s="109"/>
      <c r="C247" s="110"/>
      <c r="D247" s="113"/>
      <c r="E247" s="113"/>
      <c r="F247" s="113"/>
      <c r="G247" s="146"/>
      <c r="H247" s="72"/>
      <c r="I247" s="72"/>
      <c r="J247" s="73"/>
      <c r="K247" s="73"/>
      <c r="L247" s="88">
        <f>D247*H247</f>
        <v>0</v>
      </c>
      <c r="M247" s="50"/>
      <c r="N247" s="51">
        <f t="shared" si="22"/>
        <v>0</v>
      </c>
      <c r="P247" s="89"/>
      <c r="X247" s="148"/>
      <c r="Z247" s="52"/>
      <c r="AC247" s="1"/>
      <c r="AE247" s="3"/>
      <c r="AF247" s="148"/>
      <c r="AG247" s="5"/>
      <c r="AH247" s="52"/>
    </row>
    <row r="248" spans="2:34" ht="27" outlineLevel="1" x14ac:dyDescent="0.25">
      <c r="B248" s="109"/>
      <c r="C248" s="110" t="s">
        <v>159</v>
      </c>
      <c r="D248" s="113"/>
      <c r="E248" s="113"/>
      <c r="F248" s="113"/>
      <c r="G248" s="146"/>
      <c r="H248" s="72"/>
      <c r="I248" s="72"/>
      <c r="J248" s="73"/>
      <c r="K248" s="73"/>
      <c r="L248" s="88">
        <f>D248*H248</f>
        <v>0</v>
      </c>
      <c r="M248" s="50"/>
      <c r="N248" s="51">
        <f t="shared" si="22"/>
        <v>0</v>
      </c>
      <c r="P248" s="89"/>
      <c r="X248" s="148"/>
      <c r="Z248" s="52"/>
      <c r="AC248" s="1"/>
      <c r="AE248" s="3"/>
      <c r="AF248" s="148"/>
      <c r="AG248" s="5"/>
      <c r="AH248" s="52"/>
    </row>
    <row r="249" spans="2:34" ht="15" outlineLevel="1" x14ac:dyDescent="0.25">
      <c r="B249" s="109">
        <v>14</v>
      </c>
      <c r="C249" s="110" t="s">
        <v>160</v>
      </c>
      <c r="D249" s="250">
        <f>1*0</f>
        <v>0</v>
      </c>
      <c r="E249" s="250">
        <v>1</v>
      </c>
      <c r="F249" s="250">
        <v>0.1225</v>
      </c>
      <c r="G249" s="127" t="s">
        <v>69</v>
      </c>
      <c r="H249" s="72">
        <v>85000</v>
      </c>
      <c r="I249" s="207">
        <v>2980</v>
      </c>
      <c r="J249" s="73">
        <v>0</v>
      </c>
      <c r="K249" s="94">
        <v>85000</v>
      </c>
      <c r="L249" s="251">
        <v>365</v>
      </c>
      <c r="M249" s="149"/>
      <c r="N249" s="51">
        <f t="shared" si="22"/>
        <v>85000</v>
      </c>
      <c r="P249" s="89"/>
      <c r="W249" s="160"/>
      <c r="Z249" s="52"/>
      <c r="AC249" s="1"/>
      <c r="AE249" s="160"/>
      <c r="AF249" s="4"/>
      <c r="AG249" s="5"/>
      <c r="AH249" s="52"/>
    </row>
    <row r="250" spans="2:34" ht="15" outlineLevel="2" x14ac:dyDescent="0.25">
      <c r="B250" s="109">
        <v>15</v>
      </c>
      <c r="C250" s="2" t="s">
        <v>161</v>
      </c>
      <c r="D250" s="250"/>
      <c r="E250" s="250"/>
      <c r="F250" s="250"/>
      <c r="G250" s="127"/>
      <c r="H250" s="72"/>
      <c r="I250" s="72"/>
      <c r="J250" s="73"/>
      <c r="K250" s="73"/>
      <c r="L250" s="88"/>
      <c r="M250" s="50"/>
      <c r="N250" s="51">
        <f t="shared" si="22"/>
        <v>0</v>
      </c>
      <c r="P250" s="89"/>
      <c r="W250" s="160"/>
      <c r="Z250" s="52"/>
      <c r="AC250" s="1"/>
      <c r="AE250" s="160"/>
      <c r="AF250" s="4"/>
      <c r="AG250" s="5"/>
      <c r="AH250" s="52"/>
    </row>
    <row r="251" spans="2:34" ht="15" outlineLevel="2" x14ac:dyDescent="0.25">
      <c r="B251" s="109"/>
      <c r="C251" s="2" t="s">
        <v>162</v>
      </c>
      <c r="D251" s="250"/>
      <c r="E251" s="250"/>
      <c r="F251" s="250"/>
      <c r="G251" s="127"/>
      <c r="H251" s="72"/>
      <c r="I251" s="72"/>
      <c r="J251" s="73"/>
      <c r="K251" s="73"/>
      <c r="L251" s="88"/>
      <c r="M251" s="50"/>
      <c r="N251" s="51">
        <f t="shared" si="22"/>
        <v>0</v>
      </c>
      <c r="P251" s="89"/>
      <c r="W251" s="160"/>
      <c r="Z251" s="52"/>
      <c r="AC251" s="1"/>
      <c r="AE251" s="160"/>
      <c r="AF251" s="4"/>
      <c r="AG251" s="5"/>
      <c r="AH251" s="52"/>
    </row>
    <row r="252" spans="2:34" ht="15" outlineLevel="2" x14ac:dyDescent="0.25">
      <c r="B252" s="109"/>
      <c r="C252" s="2" t="s">
        <v>163</v>
      </c>
      <c r="D252" s="250"/>
      <c r="E252" s="250"/>
      <c r="F252" s="250"/>
      <c r="G252" s="127"/>
      <c r="H252" s="72"/>
      <c r="I252" s="72"/>
      <c r="J252" s="73"/>
      <c r="K252" s="73"/>
      <c r="L252" s="88"/>
      <c r="M252" s="50"/>
      <c r="N252" s="51">
        <f t="shared" si="22"/>
        <v>0</v>
      </c>
      <c r="P252" s="89"/>
      <c r="W252" s="160"/>
      <c r="Z252" s="52"/>
      <c r="AC252" s="1"/>
      <c r="AE252" s="160"/>
      <c r="AF252" s="4"/>
      <c r="AG252" s="5"/>
      <c r="AH252" s="52"/>
    </row>
    <row r="253" spans="2:34" ht="15" outlineLevel="2" x14ac:dyDescent="0.25">
      <c r="B253" s="109"/>
      <c r="D253" s="250"/>
      <c r="E253" s="250"/>
      <c r="F253" s="250"/>
      <c r="G253" s="127"/>
      <c r="H253" s="72"/>
      <c r="I253" s="72"/>
      <c r="J253" s="73"/>
      <c r="K253" s="73"/>
      <c r="L253" s="88"/>
      <c r="M253" s="50"/>
      <c r="N253" s="51">
        <f t="shared" si="22"/>
        <v>0</v>
      </c>
      <c r="P253" s="89"/>
      <c r="W253" s="160"/>
      <c r="Z253" s="52"/>
      <c r="AC253" s="1"/>
      <c r="AE253" s="160"/>
      <c r="AF253" s="4"/>
      <c r="AG253" s="5"/>
      <c r="AH253" s="52"/>
    </row>
    <row r="254" spans="2:34" ht="15" outlineLevel="2" x14ac:dyDescent="0.25">
      <c r="B254" s="109"/>
      <c r="C254" s="252" t="s">
        <v>164</v>
      </c>
      <c r="D254" s="250"/>
      <c r="E254" s="250"/>
      <c r="F254" s="250"/>
      <c r="G254" s="127"/>
      <c r="H254" s="72"/>
      <c r="I254" s="72"/>
      <c r="J254" s="73"/>
      <c r="K254" s="73"/>
      <c r="L254" s="88"/>
      <c r="M254" s="50"/>
      <c r="N254" s="51">
        <f t="shared" si="22"/>
        <v>0</v>
      </c>
      <c r="P254" s="89"/>
      <c r="W254" s="160"/>
      <c r="Z254" s="52"/>
      <c r="AC254" s="1"/>
      <c r="AE254" s="160"/>
      <c r="AF254" s="4"/>
      <c r="AG254" s="5"/>
      <c r="AH254" s="52"/>
    </row>
    <row r="255" spans="2:34" ht="15" outlineLevel="2" x14ac:dyDescent="0.25">
      <c r="B255" s="109"/>
      <c r="C255" s="252" t="s">
        <v>165</v>
      </c>
      <c r="D255" s="250"/>
      <c r="E255" s="250"/>
      <c r="F255" s="250"/>
      <c r="G255" s="127"/>
      <c r="H255" s="72"/>
      <c r="I255" s="72"/>
      <c r="J255" s="73"/>
      <c r="K255" s="73"/>
      <c r="L255" s="88"/>
      <c r="M255" s="50"/>
      <c r="N255" s="51">
        <f t="shared" si="22"/>
        <v>0</v>
      </c>
      <c r="P255" s="89"/>
      <c r="W255" s="160"/>
      <c r="Z255" s="52"/>
      <c r="AC255" s="1"/>
      <c r="AE255" s="160"/>
      <c r="AF255" s="4"/>
      <c r="AG255" s="5"/>
      <c r="AH255" s="52"/>
    </row>
    <row r="256" spans="2:34" ht="15" outlineLevel="2" x14ac:dyDescent="0.25">
      <c r="B256" s="109"/>
      <c r="C256" s="252" t="s">
        <v>166</v>
      </c>
      <c r="D256" s="250"/>
      <c r="E256" s="250"/>
      <c r="F256" s="250"/>
      <c r="G256" s="127"/>
      <c r="H256" s="72"/>
      <c r="I256" s="72"/>
      <c r="J256" s="73"/>
      <c r="K256" s="73"/>
      <c r="L256" s="88"/>
      <c r="M256" s="50"/>
      <c r="N256" s="51">
        <f t="shared" si="22"/>
        <v>0</v>
      </c>
      <c r="P256" s="89"/>
      <c r="W256" s="160"/>
      <c r="Z256" s="52"/>
      <c r="AC256" s="1"/>
      <c r="AE256" s="160"/>
      <c r="AF256" s="4"/>
      <c r="AG256" s="5"/>
      <c r="AH256" s="52"/>
    </row>
    <row r="257" spans="2:34" ht="15" outlineLevel="2" x14ac:dyDescent="0.25">
      <c r="B257" s="109"/>
      <c r="C257" s="252" t="s">
        <v>167</v>
      </c>
      <c r="D257" s="250"/>
      <c r="E257" s="250"/>
      <c r="F257" s="250"/>
      <c r="G257" s="127"/>
      <c r="H257" s="72"/>
      <c r="I257" s="72"/>
      <c r="J257" s="73"/>
      <c r="K257" s="73"/>
      <c r="L257" s="88"/>
      <c r="M257" s="50"/>
      <c r="N257" s="51">
        <f t="shared" si="22"/>
        <v>0</v>
      </c>
      <c r="P257" s="89"/>
      <c r="W257" s="160"/>
      <c r="Z257" s="52"/>
      <c r="AC257" s="1"/>
      <c r="AE257" s="160"/>
      <c r="AF257" s="4"/>
      <c r="AG257" s="5"/>
      <c r="AH257" s="52"/>
    </row>
    <row r="258" spans="2:34" ht="15" outlineLevel="2" x14ac:dyDescent="0.25">
      <c r="B258" s="109"/>
      <c r="D258" s="250"/>
      <c r="E258" s="250"/>
      <c r="F258" s="250"/>
      <c r="G258" s="127"/>
      <c r="H258" s="72"/>
      <c r="I258" s="72"/>
      <c r="J258" s="73"/>
      <c r="K258" s="73"/>
      <c r="L258" s="88">
        <f t="shared" ref="L258" si="25">D258*H258</f>
        <v>0</v>
      </c>
      <c r="M258" s="50"/>
      <c r="N258" s="51">
        <f t="shared" si="22"/>
        <v>0</v>
      </c>
      <c r="P258" s="89"/>
      <c r="W258" s="160"/>
      <c r="Z258" s="52"/>
      <c r="AC258" s="1"/>
      <c r="AE258" s="160"/>
      <c r="AF258" s="4"/>
      <c r="AG258" s="5"/>
      <c r="AH258" s="52"/>
    </row>
    <row r="259" spans="2:34" outlineLevel="1" x14ac:dyDescent="0.25">
      <c r="B259" s="109">
        <v>15</v>
      </c>
      <c r="C259" s="2" t="s">
        <v>168</v>
      </c>
      <c r="D259" s="253">
        <v>0</v>
      </c>
      <c r="E259" s="250">
        <v>53</v>
      </c>
      <c r="F259" s="250">
        <v>53</v>
      </c>
      <c r="G259" s="146" t="s">
        <v>76</v>
      </c>
      <c r="H259" s="72">
        <v>3000</v>
      </c>
      <c r="I259" s="72">
        <v>3000</v>
      </c>
      <c r="J259" s="73">
        <f>+(D259*H259)</f>
        <v>0</v>
      </c>
      <c r="K259" s="73">
        <f>+(E259*H259)</f>
        <v>159000</v>
      </c>
      <c r="L259" s="88">
        <f>+(F259*I259)</f>
        <v>159000</v>
      </c>
      <c r="M259" s="336" t="s">
        <v>215</v>
      </c>
      <c r="N259" s="51">
        <f t="shared" si="22"/>
        <v>159000</v>
      </c>
      <c r="P259" s="89"/>
      <c r="X259" s="148"/>
      <c r="Z259" s="52"/>
      <c r="AA259" s="89"/>
      <c r="AB259" s="89"/>
      <c r="AC259" s="1"/>
      <c r="AE259" s="160"/>
      <c r="AF259" s="148"/>
      <c r="AG259" s="5"/>
      <c r="AH259" s="52"/>
    </row>
    <row r="260" spans="2:34" outlineLevel="1" x14ac:dyDescent="0.25">
      <c r="B260" s="109"/>
      <c r="C260" s="252" t="s">
        <v>169</v>
      </c>
      <c r="D260" s="250"/>
      <c r="E260" s="250"/>
      <c r="F260" s="250"/>
      <c r="G260" s="146"/>
      <c r="H260" s="72"/>
      <c r="I260" s="72"/>
      <c r="J260" s="73"/>
      <c r="K260" s="73"/>
      <c r="L260" s="88"/>
      <c r="M260" s="336"/>
      <c r="N260" s="51">
        <f t="shared" si="22"/>
        <v>0</v>
      </c>
      <c r="P260" s="89"/>
      <c r="X260" s="148"/>
      <c r="Z260" s="52"/>
      <c r="AA260" s="89"/>
      <c r="AB260" s="89"/>
      <c r="AC260" s="1"/>
      <c r="AE260" s="160"/>
      <c r="AF260" s="148"/>
      <c r="AG260" s="5"/>
      <c r="AH260" s="52"/>
    </row>
    <row r="261" spans="2:34" outlineLevel="1" x14ac:dyDescent="0.25">
      <c r="B261" s="109"/>
      <c r="D261" s="250"/>
      <c r="E261" s="250"/>
      <c r="F261" s="250"/>
      <c r="G261" s="146"/>
      <c r="H261" s="72"/>
      <c r="I261" s="72"/>
      <c r="J261" s="73"/>
      <c r="K261" s="73"/>
      <c r="L261" s="88"/>
      <c r="M261" s="336"/>
      <c r="N261" s="51">
        <f t="shared" si="22"/>
        <v>0</v>
      </c>
      <c r="P261" s="89"/>
      <c r="X261" s="148"/>
      <c r="Z261" s="52"/>
      <c r="AA261" s="89"/>
      <c r="AB261" s="89"/>
      <c r="AC261" s="1"/>
      <c r="AE261" s="160"/>
      <c r="AF261" s="148"/>
      <c r="AG261" s="5"/>
      <c r="AH261" s="52"/>
    </row>
    <row r="262" spans="2:34" outlineLevel="1" x14ac:dyDescent="0.25">
      <c r="B262" s="109">
        <v>16</v>
      </c>
      <c r="C262" s="110" t="s">
        <v>170</v>
      </c>
      <c r="D262" s="250">
        <f>[1]Quantaties!D55</f>
        <v>21</v>
      </c>
      <c r="E262" s="250">
        <v>21</v>
      </c>
      <c r="F262" s="250">
        <v>21</v>
      </c>
      <c r="G262" s="127" t="s">
        <v>103</v>
      </c>
      <c r="H262" s="72">
        <v>1120.32</v>
      </c>
      <c r="I262" s="72">
        <v>1120.32</v>
      </c>
      <c r="J262" s="73">
        <f>+(D262*H262)</f>
        <v>23526.719999999998</v>
      </c>
      <c r="K262" s="73">
        <f t="shared" ref="K262:L264" si="26">+(E262*H262)</f>
        <v>23526.719999999998</v>
      </c>
      <c r="L262" s="88">
        <f t="shared" si="26"/>
        <v>23526.719999999998</v>
      </c>
      <c r="M262" s="336"/>
      <c r="N262" s="51">
        <f t="shared" si="22"/>
        <v>0</v>
      </c>
      <c r="P262" s="89"/>
      <c r="Z262" s="52"/>
      <c r="AA262" s="89"/>
      <c r="AB262" s="89"/>
      <c r="AC262" s="1"/>
      <c r="AE262" s="160"/>
      <c r="AF262" s="4"/>
      <c r="AG262" s="5"/>
      <c r="AH262" s="52"/>
    </row>
    <row r="263" spans="2:34" outlineLevel="1" x14ac:dyDescent="0.25">
      <c r="B263" s="109"/>
      <c r="C263" s="110" t="s">
        <v>171</v>
      </c>
      <c r="D263" s="250">
        <f>[1]Quantaties!D54</f>
        <v>31.5</v>
      </c>
      <c r="E263" s="250">
        <v>31.5</v>
      </c>
      <c r="F263" s="250"/>
      <c r="G263" s="127" t="s">
        <v>103</v>
      </c>
      <c r="H263" s="254">
        <v>1800</v>
      </c>
      <c r="I263" s="255"/>
      <c r="J263" s="73">
        <f>+(D263*H263)</f>
        <v>56700</v>
      </c>
      <c r="K263" s="73">
        <f t="shared" si="26"/>
        <v>56700</v>
      </c>
      <c r="L263" s="180">
        <f t="shared" si="26"/>
        <v>0</v>
      </c>
      <c r="M263" s="336"/>
      <c r="N263" s="51">
        <f t="shared" si="22"/>
        <v>0</v>
      </c>
      <c r="P263" s="89"/>
      <c r="Z263" s="183"/>
      <c r="AA263" s="89"/>
      <c r="AB263" s="89"/>
      <c r="AC263" s="1"/>
      <c r="AE263" s="160"/>
      <c r="AF263" s="4"/>
      <c r="AG263" s="5"/>
      <c r="AH263" s="52"/>
    </row>
    <row r="264" spans="2:34" outlineLevel="1" x14ac:dyDescent="0.25">
      <c r="B264" s="109"/>
      <c r="C264" s="110" t="s">
        <v>172</v>
      </c>
      <c r="D264" s="256">
        <v>5</v>
      </c>
      <c r="E264" s="257"/>
      <c r="F264" s="257"/>
      <c r="G264" s="175" t="s">
        <v>173</v>
      </c>
      <c r="H264" s="254">
        <v>15500</v>
      </c>
      <c r="I264" s="5"/>
      <c r="J264" s="73">
        <f>+(D264*H264)</f>
        <v>77500</v>
      </c>
      <c r="K264" s="73">
        <f t="shared" si="26"/>
        <v>0</v>
      </c>
      <c r="L264" s="88">
        <f t="shared" si="26"/>
        <v>0</v>
      </c>
      <c r="M264" s="336"/>
      <c r="N264" s="51">
        <f t="shared" si="22"/>
        <v>-77500</v>
      </c>
      <c r="P264" s="89"/>
      <c r="Z264" s="183"/>
      <c r="AA264" s="89"/>
      <c r="AB264" s="89"/>
      <c r="AC264" s="1"/>
      <c r="AE264" s="160"/>
      <c r="AF264" s="4"/>
      <c r="AG264" s="5"/>
      <c r="AH264" s="52"/>
    </row>
    <row r="265" spans="2:34" ht="15" outlineLevel="1" x14ac:dyDescent="0.25">
      <c r="B265" s="109"/>
      <c r="C265" s="110"/>
      <c r="D265" s="159"/>
      <c r="E265" s="257"/>
      <c r="F265" s="257"/>
      <c r="G265" s="175"/>
      <c r="H265" s="72"/>
      <c r="I265" s="72"/>
      <c r="J265" s="72"/>
      <c r="K265" s="5"/>
      <c r="L265" s="88"/>
      <c r="M265" s="50"/>
      <c r="N265" s="51">
        <f t="shared" si="22"/>
        <v>0</v>
      </c>
      <c r="P265" s="89"/>
      <c r="Z265" s="183"/>
      <c r="AA265" s="89"/>
      <c r="AB265" s="89"/>
      <c r="AC265" s="1"/>
      <c r="AE265" s="160"/>
      <c r="AF265" s="4"/>
      <c r="AG265" s="5"/>
      <c r="AH265" s="52"/>
    </row>
    <row r="266" spans="2:34" ht="15" outlineLevel="1" x14ac:dyDescent="0.25">
      <c r="B266" s="109"/>
      <c r="C266" s="258" t="s">
        <v>174</v>
      </c>
      <c r="D266" s="159"/>
      <c r="E266" s="257"/>
      <c r="F266" s="257"/>
      <c r="G266" s="175"/>
      <c r="H266" s="72"/>
      <c r="I266" s="72"/>
      <c r="J266" s="72"/>
      <c r="K266" s="5"/>
      <c r="L266" s="88"/>
      <c r="M266" s="50"/>
      <c r="N266" s="51">
        <f t="shared" si="22"/>
        <v>0</v>
      </c>
      <c r="P266" s="89"/>
      <c r="Z266" s="183"/>
      <c r="AA266" s="89"/>
      <c r="AB266" s="89"/>
      <c r="AC266" s="1"/>
      <c r="AE266" s="160"/>
      <c r="AF266" s="4"/>
      <c r="AG266" s="5"/>
      <c r="AH266" s="52"/>
    </row>
    <row r="267" spans="2:34" ht="15" outlineLevel="1" x14ac:dyDescent="0.25">
      <c r="B267" s="109"/>
      <c r="C267" s="110"/>
      <c r="D267" s="159"/>
      <c r="E267" s="257"/>
      <c r="F267" s="257"/>
      <c r="G267" s="175"/>
      <c r="H267" s="72"/>
      <c r="I267" s="72"/>
      <c r="J267" s="72"/>
      <c r="K267" s="5"/>
      <c r="L267" s="88"/>
      <c r="M267" s="50"/>
      <c r="N267" s="51">
        <f t="shared" si="22"/>
        <v>0</v>
      </c>
      <c r="P267" s="89"/>
      <c r="Z267" s="183"/>
      <c r="AA267" s="89"/>
      <c r="AB267" s="89"/>
      <c r="AC267" s="1"/>
      <c r="AE267" s="160"/>
      <c r="AF267" s="4"/>
      <c r="AG267" s="5"/>
      <c r="AH267" s="52"/>
    </row>
    <row r="268" spans="2:34" ht="15" outlineLevel="1" x14ac:dyDescent="0.25">
      <c r="B268" s="109"/>
      <c r="C268" s="249" t="s">
        <v>175</v>
      </c>
      <c r="D268" s="159"/>
      <c r="E268" s="257"/>
      <c r="F268" s="257"/>
      <c r="G268" s="175"/>
      <c r="H268" s="72"/>
      <c r="I268" s="72"/>
      <c r="J268" s="72"/>
      <c r="K268" s="5"/>
      <c r="L268" s="88"/>
      <c r="M268" s="50"/>
      <c r="N268" s="51">
        <f t="shared" si="22"/>
        <v>0</v>
      </c>
      <c r="P268" s="89"/>
      <c r="Z268" s="183"/>
      <c r="AA268" s="89"/>
      <c r="AB268" s="89"/>
      <c r="AC268" s="1"/>
      <c r="AE268" s="160"/>
      <c r="AF268" s="4"/>
      <c r="AG268" s="5"/>
      <c r="AH268" s="52"/>
    </row>
    <row r="269" spans="2:34" ht="15" outlineLevel="1" x14ac:dyDescent="0.25">
      <c r="B269" s="109"/>
      <c r="C269" s="110"/>
      <c r="D269" s="159"/>
      <c r="E269" s="257"/>
      <c r="F269" s="257"/>
      <c r="G269" s="175"/>
      <c r="H269" s="72"/>
      <c r="I269" s="72"/>
      <c r="J269" s="72"/>
      <c r="K269" s="5"/>
      <c r="L269" s="88"/>
      <c r="M269" s="50"/>
      <c r="N269" s="51">
        <f t="shared" si="22"/>
        <v>0</v>
      </c>
      <c r="P269" s="89"/>
      <c r="Z269" s="183"/>
      <c r="AA269" s="89"/>
      <c r="AB269" s="89"/>
      <c r="AC269" s="1"/>
      <c r="AE269" s="160"/>
      <c r="AF269" s="4"/>
      <c r="AG269" s="5"/>
      <c r="AH269" s="52"/>
    </row>
    <row r="270" spans="2:34" ht="15" outlineLevel="1" x14ac:dyDescent="0.25">
      <c r="B270" s="109">
        <v>18</v>
      </c>
      <c r="C270" s="110" t="s">
        <v>176</v>
      </c>
      <c r="D270" s="256">
        <v>2</v>
      </c>
      <c r="E270" s="257">
        <v>2</v>
      </c>
      <c r="F270" s="257">
        <v>2</v>
      </c>
      <c r="G270" s="175" t="s">
        <v>177</v>
      </c>
      <c r="H270" s="72">
        <v>5400</v>
      </c>
      <c r="I270" s="72">
        <v>5400</v>
      </c>
      <c r="J270" s="73">
        <f>+(D270*H270)</f>
        <v>10800</v>
      </c>
      <c r="K270" s="73">
        <f>+(E270*H270)</f>
        <v>10800</v>
      </c>
      <c r="L270" s="88">
        <f>+(F270*I270)</f>
        <v>10800</v>
      </c>
      <c r="M270" s="149"/>
      <c r="N270" s="51">
        <f t="shared" si="22"/>
        <v>0</v>
      </c>
      <c r="P270" s="89"/>
      <c r="Z270" s="52"/>
      <c r="AA270" s="89"/>
      <c r="AB270" s="89"/>
      <c r="AC270" s="1"/>
      <c r="AE270" s="160"/>
      <c r="AF270" s="4"/>
      <c r="AG270" s="5"/>
      <c r="AH270" s="52"/>
    </row>
    <row r="271" spans="2:34" ht="15" outlineLevel="1" x14ac:dyDescent="0.25">
      <c r="B271" s="109"/>
      <c r="C271" s="110"/>
      <c r="D271" s="159"/>
      <c r="E271" s="257"/>
      <c r="F271" s="257"/>
      <c r="G271" s="175"/>
      <c r="H271" s="72"/>
      <c r="I271" s="72"/>
      <c r="J271" s="73"/>
      <c r="K271" s="5"/>
      <c r="L271" s="88"/>
      <c r="M271" s="149"/>
      <c r="N271" s="51">
        <f t="shared" si="22"/>
        <v>0</v>
      </c>
      <c r="P271" s="89"/>
      <c r="Z271" s="52"/>
      <c r="AA271" s="89"/>
      <c r="AB271" s="89"/>
      <c r="AC271" s="1"/>
      <c r="AE271" s="160"/>
      <c r="AF271" s="4"/>
      <c r="AG271" s="5"/>
      <c r="AH271" s="52"/>
    </row>
    <row r="272" spans="2:34" ht="15" outlineLevel="1" x14ac:dyDescent="0.25">
      <c r="B272" s="109"/>
      <c r="C272" s="258" t="s">
        <v>178</v>
      </c>
      <c r="D272" s="159"/>
      <c r="E272" s="257"/>
      <c r="F272" s="257"/>
      <c r="G272" s="175"/>
      <c r="H272" s="72"/>
      <c r="I272" s="72"/>
      <c r="J272" s="73"/>
      <c r="K272" s="5"/>
      <c r="L272" s="88"/>
      <c r="M272" s="149"/>
      <c r="N272" s="51">
        <f t="shared" si="22"/>
        <v>0</v>
      </c>
      <c r="P272" s="89"/>
      <c r="Z272" s="52"/>
      <c r="AA272" s="89"/>
      <c r="AB272" s="89"/>
      <c r="AC272" s="1"/>
      <c r="AE272" s="160"/>
      <c r="AF272" s="4"/>
      <c r="AG272" s="5"/>
      <c r="AH272" s="52"/>
    </row>
    <row r="273" spans="2:35" ht="15" outlineLevel="1" x14ac:dyDescent="0.25">
      <c r="B273" s="109"/>
      <c r="C273" s="110"/>
      <c r="D273" s="159"/>
      <c r="E273" s="257"/>
      <c r="F273" s="257"/>
      <c r="G273" s="175"/>
      <c r="H273" s="72"/>
      <c r="I273" s="72"/>
      <c r="J273" s="72"/>
      <c r="K273" s="5"/>
      <c r="L273" s="88"/>
      <c r="M273" s="50"/>
      <c r="N273" s="51">
        <f t="shared" si="22"/>
        <v>0</v>
      </c>
      <c r="P273" s="89"/>
      <c r="W273" s="160"/>
      <c r="Z273" s="52"/>
      <c r="AC273" s="1"/>
      <c r="AE273" s="160"/>
      <c r="AF273" s="4"/>
      <c r="AG273" s="5"/>
      <c r="AH273" s="52"/>
    </row>
    <row r="274" spans="2:35" ht="15" outlineLevel="1" x14ac:dyDescent="0.25">
      <c r="B274" s="109"/>
      <c r="C274" s="82" t="s">
        <v>179</v>
      </c>
      <c r="D274" s="159"/>
      <c r="E274" s="257"/>
      <c r="F274" s="257"/>
      <c r="G274" s="175"/>
      <c r="H274" s="72"/>
      <c r="I274" s="72"/>
      <c r="J274" s="72"/>
      <c r="K274" s="5"/>
      <c r="L274" s="88">
        <f>D274*H274</f>
        <v>0</v>
      </c>
      <c r="M274" s="50"/>
      <c r="N274" s="51">
        <f t="shared" si="22"/>
        <v>0</v>
      </c>
      <c r="P274" s="89"/>
      <c r="V274" s="83"/>
      <c r="W274" s="160"/>
      <c r="Z274" s="52"/>
      <c r="AC274" s="1"/>
      <c r="AD274" s="83"/>
      <c r="AE274" s="160"/>
      <c r="AF274" s="4"/>
      <c r="AG274" s="5"/>
      <c r="AH274" s="52"/>
    </row>
    <row r="275" spans="2:35" ht="27" outlineLevel="1" x14ac:dyDescent="0.25">
      <c r="B275" s="109">
        <v>19</v>
      </c>
      <c r="C275" s="110" t="s">
        <v>180</v>
      </c>
      <c r="D275" s="159">
        <f>[1]Quantaties!D35-D277</f>
        <v>637</v>
      </c>
      <c r="E275" s="257">
        <v>523</v>
      </c>
      <c r="F275" s="257">
        <v>523</v>
      </c>
      <c r="G275" s="259" t="s">
        <v>76</v>
      </c>
      <c r="H275" s="72">
        <v>726.83</v>
      </c>
      <c r="I275" s="72">
        <v>726.83</v>
      </c>
      <c r="J275" s="73">
        <f>+(D275*H275)</f>
        <v>462990.71</v>
      </c>
      <c r="K275" s="73">
        <f>+(E275*H275)</f>
        <v>380132.09</v>
      </c>
      <c r="L275" s="88">
        <f t="shared" ref="K275:L277" si="27">+(F275*I275)</f>
        <v>380132.09</v>
      </c>
      <c r="M275" s="50"/>
      <c r="N275" s="51">
        <f t="shared" si="22"/>
        <v>-82858.62</v>
      </c>
      <c r="P275" s="51">
        <f>J275-K275</f>
        <v>82858.62</v>
      </c>
      <c r="X275" s="148"/>
      <c r="Z275" s="52"/>
      <c r="AA275" s="89"/>
      <c r="AB275" s="89"/>
      <c r="AC275" s="1"/>
      <c r="AE275" s="160"/>
      <c r="AF275" s="148"/>
      <c r="AG275" s="5"/>
      <c r="AH275" s="52"/>
      <c r="AI275" s="2" t="s">
        <v>181</v>
      </c>
    </row>
    <row r="276" spans="2:35" ht="15" outlineLevel="1" x14ac:dyDescent="0.25">
      <c r="B276" s="109">
        <v>20</v>
      </c>
      <c r="C276" s="110" t="s">
        <v>182</v>
      </c>
      <c r="D276" s="159">
        <f>[1]Quantaties!D36</f>
        <v>155</v>
      </c>
      <c r="E276" s="257">
        <v>155</v>
      </c>
      <c r="F276" s="257">
        <v>155</v>
      </c>
      <c r="G276" s="259" t="s">
        <v>76</v>
      </c>
      <c r="H276" s="167">
        <v>145.5</v>
      </c>
      <c r="I276" s="72">
        <v>145.5</v>
      </c>
      <c r="J276" s="73">
        <f>+(D276*H276)</f>
        <v>22552.5</v>
      </c>
      <c r="K276" s="73">
        <f t="shared" si="27"/>
        <v>22552.5</v>
      </c>
      <c r="L276" s="88">
        <f t="shared" si="27"/>
        <v>22552.5</v>
      </c>
      <c r="M276" s="50"/>
      <c r="N276" s="51">
        <f t="shared" si="22"/>
        <v>0</v>
      </c>
      <c r="P276" s="292">
        <f>P275+K277</f>
        <v>95949.62</v>
      </c>
      <c r="X276" s="148"/>
      <c r="Z276" s="52"/>
      <c r="AA276" s="89"/>
      <c r="AB276" s="89"/>
      <c r="AC276" s="1"/>
      <c r="AE276" s="160"/>
      <c r="AF276" s="148"/>
      <c r="AG276" s="5"/>
      <c r="AH276" s="52"/>
    </row>
    <row r="277" spans="2:35" ht="15" outlineLevel="1" x14ac:dyDescent="0.25">
      <c r="B277" s="109"/>
      <c r="C277" s="110" t="s">
        <v>183</v>
      </c>
      <c r="D277" s="159">
        <v>247</v>
      </c>
      <c r="E277" s="257">
        <v>247</v>
      </c>
      <c r="F277" s="257"/>
      <c r="G277" s="259" t="s">
        <v>76</v>
      </c>
      <c r="H277" s="167">
        <v>53</v>
      </c>
      <c r="I277" s="255"/>
      <c r="J277" s="73">
        <f>+(D277*H277)</f>
        <v>13091</v>
      </c>
      <c r="K277" s="73">
        <f t="shared" si="27"/>
        <v>13091</v>
      </c>
      <c r="L277" s="180">
        <f t="shared" si="27"/>
        <v>0</v>
      </c>
      <c r="M277" s="50"/>
      <c r="N277" s="51">
        <f t="shared" si="22"/>
        <v>0</v>
      </c>
      <c r="P277" s="89"/>
      <c r="X277" s="148"/>
      <c r="Z277" s="52"/>
      <c r="AA277" s="89"/>
      <c r="AB277" s="89"/>
      <c r="AC277" s="1"/>
      <c r="AE277" s="160"/>
      <c r="AF277" s="148"/>
      <c r="AG277" s="5"/>
      <c r="AH277" s="52"/>
    </row>
    <row r="278" spans="2:35" ht="15" outlineLevel="1" x14ac:dyDescent="0.25">
      <c r="B278" s="109"/>
      <c r="C278" s="110"/>
      <c r="D278" s="159"/>
      <c r="E278" s="257"/>
      <c r="F278" s="257"/>
      <c r="G278" s="259"/>
      <c r="H278" s="72"/>
      <c r="I278" s="254"/>
      <c r="J278" s="73"/>
      <c r="K278" s="72"/>
      <c r="L278" s="183"/>
      <c r="M278" s="50"/>
      <c r="N278" s="51">
        <f t="shared" si="22"/>
        <v>0</v>
      </c>
      <c r="P278" s="89"/>
      <c r="X278" s="148"/>
      <c r="Z278" s="52"/>
      <c r="AA278" s="89"/>
      <c r="AB278" s="89"/>
      <c r="AC278" s="1"/>
      <c r="AE278" s="160"/>
      <c r="AF278" s="148"/>
      <c r="AG278" s="5"/>
      <c r="AH278" s="52"/>
    </row>
    <row r="279" spans="2:35" ht="15" outlineLevel="1" x14ac:dyDescent="0.25">
      <c r="B279" s="109"/>
      <c r="C279" s="260" t="s">
        <v>184</v>
      </c>
      <c r="D279" s="159"/>
      <c r="E279" s="257"/>
      <c r="F279" s="257"/>
      <c r="G279" s="259"/>
      <c r="H279" s="72"/>
      <c r="I279" s="254"/>
      <c r="J279" s="73"/>
      <c r="K279" s="72"/>
      <c r="L279" s="183"/>
      <c r="M279" s="50"/>
      <c r="N279" s="51">
        <f t="shared" si="22"/>
        <v>0</v>
      </c>
      <c r="P279" s="89"/>
      <c r="X279" s="148"/>
      <c r="Z279" s="52"/>
      <c r="AA279" s="89"/>
      <c r="AB279" s="89"/>
      <c r="AC279" s="1"/>
      <c r="AE279" s="160"/>
      <c r="AF279" s="148"/>
      <c r="AG279" s="5"/>
      <c r="AH279" s="52"/>
    </row>
    <row r="280" spans="2:35" ht="15" outlineLevel="1" x14ac:dyDescent="0.25">
      <c r="B280" s="109"/>
      <c r="C280" s="260" t="s">
        <v>185</v>
      </c>
      <c r="D280" s="159"/>
      <c r="E280" s="257"/>
      <c r="F280" s="257"/>
      <c r="G280" s="259"/>
      <c r="H280" s="72"/>
      <c r="I280" s="254"/>
      <c r="J280" s="73"/>
      <c r="K280" s="72"/>
      <c r="L280" s="183"/>
      <c r="M280" s="50"/>
      <c r="N280" s="51">
        <f t="shared" si="22"/>
        <v>0</v>
      </c>
      <c r="P280" s="89"/>
      <c r="X280" s="148"/>
      <c r="Z280" s="52"/>
      <c r="AA280" s="89"/>
      <c r="AB280" s="89"/>
      <c r="AC280" s="1"/>
      <c r="AE280" s="160"/>
      <c r="AF280" s="148"/>
      <c r="AG280" s="5"/>
      <c r="AH280" s="52"/>
    </row>
    <row r="281" spans="2:35" ht="15" outlineLevel="1" x14ac:dyDescent="0.25">
      <c r="B281" s="109"/>
      <c r="C281" s="110"/>
      <c r="D281" s="159"/>
      <c r="E281" s="257"/>
      <c r="F281" s="257"/>
      <c r="G281" s="175"/>
      <c r="H281" s="72"/>
      <c r="I281" s="72"/>
      <c r="J281" s="72"/>
      <c r="K281" s="72"/>
      <c r="L281" s="183"/>
      <c r="M281" s="50"/>
      <c r="N281" s="51">
        <f t="shared" si="22"/>
        <v>0</v>
      </c>
      <c r="P281" s="89"/>
      <c r="W281" s="160"/>
      <c r="Z281" s="52"/>
      <c r="AC281" s="1"/>
      <c r="AE281" s="160"/>
      <c r="AF281" s="4"/>
      <c r="AG281" s="5"/>
      <c r="AH281" s="52"/>
    </row>
    <row r="282" spans="2:35" ht="15" outlineLevel="1" x14ac:dyDescent="0.25">
      <c r="B282" s="109"/>
      <c r="C282" s="82" t="s">
        <v>186</v>
      </c>
      <c r="D282" s="159"/>
      <c r="E282" s="257"/>
      <c r="F282" s="257"/>
      <c r="G282" s="175"/>
      <c r="H282" s="72"/>
      <c r="I282" s="72"/>
      <c r="J282" s="72"/>
      <c r="K282" s="72"/>
      <c r="L282" s="176"/>
      <c r="M282" s="50"/>
      <c r="N282" s="51">
        <f t="shared" si="22"/>
        <v>0</v>
      </c>
      <c r="P282" s="89"/>
      <c r="V282" s="83"/>
      <c r="W282" s="160"/>
      <c r="Z282" s="52"/>
      <c r="AC282" s="1"/>
      <c r="AD282" s="83"/>
      <c r="AE282" s="160"/>
      <c r="AF282" s="4"/>
      <c r="AG282" s="5"/>
      <c r="AH282" s="52"/>
    </row>
    <row r="283" spans="2:35" ht="15" outlineLevel="1" x14ac:dyDescent="0.25">
      <c r="B283" s="109">
        <v>26</v>
      </c>
      <c r="C283" s="110" t="s">
        <v>187</v>
      </c>
      <c r="D283" s="113">
        <v>1</v>
      </c>
      <c r="E283" s="114">
        <v>1</v>
      </c>
      <c r="F283" s="114">
        <v>1</v>
      </c>
      <c r="G283" s="259" t="s">
        <v>188</v>
      </c>
      <c r="H283" s="72">
        <v>4313.1000000000004</v>
      </c>
      <c r="I283" s="72">
        <v>4313.1000000000004</v>
      </c>
      <c r="J283" s="73">
        <f t="shared" ref="J283:J288" si="28">+(D283*H283)</f>
        <v>4313.1000000000004</v>
      </c>
      <c r="K283" s="73">
        <f t="shared" ref="K283:L288" si="29">+(E283*H283)</f>
        <v>4313.1000000000004</v>
      </c>
      <c r="L283" s="88">
        <f t="shared" si="29"/>
        <v>4313.1000000000004</v>
      </c>
      <c r="M283" s="50"/>
      <c r="N283" s="51">
        <f t="shared" si="22"/>
        <v>0</v>
      </c>
      <c r="P283" s="89"/>
      <c r="X283" s="148"/>
      <c r="Y283" s="183"/>
      <c r="Z283" s="52"/>
      <c r="AA283" s="89"/>
      <c r="AB283" s="89"/>
      <c r="AC283" s="1"/>
      <c r="AE283" s="3"/>
      <c r="AF283" s="148"/>
      <c r="AG283" s="5"/>
      <c r="AH283" s="52"/>
    </row>
    <row r="284" spans="2:35" ht="15" outlineLevel="1" x14ac:dyDescent="0.25">
      <c r="B284" s="109">
        <v>27</v>
      </c>
      <c r="C284" s="110" t="s">
        <v>189</v>
      </c>
      <c r="D284" s="113">
        <v>1</v>
      </c>
      <c r="E284" s="114">
        <v>1</v>
      </c>
      <c r="F284" s="114">
        <v>1</v>
      </c>
      <c r="G284" s="259" t="s">
        <v>79</v>
      </c>
      <c r="H284" s="72">
        <v>6998.98</v>
      </c>
      <c r="I284" s="72">
        <v>6998.98</v>
      </c>
      <c r="J284" s="73">
        <f t="shared" si="28"/>
        <v>6998.98</v>
      </c>
      <c r="K284" s="73">
        <f t="shared" si="29"/>
        <v>6998.98</v>
      </c>
      <c r="L284" s="88">
        <f t="shared" si="29"/>
        <v>6998.98</v>
      </c>
      <c r="M284" s="50"/>
      <c r="N284" s="51">
        <f t="shared" si="22"/>
        <v>0</v>
      </c>
      <c r="P284" s="89"/>
      <c r="X284" s="148"/>
      <c r="Y284" s="183"/>
      <c r="Z284" s="52"/>
      <c r="AA284" s="89"/>
      <c r="AB284" s="89"/>
      <c r="AC284" s="1"/>
      <c r="AE284" s="3"/>
      <c r="AF284" s="148"/>
      <c r="AG284" s="5"/>
      <c r="AH284" s="52"/>
    </row>
    <row r="285" spans="2:35" ht="15" outlineLevel="1" x14ac:dyDescent="0.25">
      <c r="B285" s="109">
        <v>28</v>
      </c>
      <c r="C285" s="2" t="s">
        <v>190</v>
      </c>
      <c r="D285" s="159">
        <v>1</v>
      </c>
      <c r="E285" s="257">
        <v>1</v>
      </c>
      <c r="F285" s="257">
        <v>1</v>
      </c>
      <c r="G285" s="259" t="s">
        <v>79</v>
      </c>
      <c r="H285" s="72">
        <v>6998.98</v>
      </c>
      <c r="I285" s="248"/>
      <c r="J285" s="73">
        <f t="shared" si="28"/>
        <v>6998.98</v>
      </c>
      <c r="K285" s="73">
        <f t="shared" si="29"/>
        <v>6998.98</v>
      </c>
      <c r="L285" s="180">
        <f t="shared" si="29"/>
        <v>0</v>
      </c>
      <c r="M285" s="50"/>
      <c r="N285" s="51">
        <f t="shared" si="22"/>
        <v>0</v>
      </c>
      <c r="P285" s="89"/>
      <c r="W285" s="160"/>
      <c r="X285" s="148"/>
      <c r="Y285" s="183"/>
      <c r="Z285" s="52"/>
      <c r="AA285" s="89"/>
      <c r="AB285" s="89"/>
      <c r="AC285" s="1"/>
      <c r="AE285" s="160"/>
      <c r="AF285" s="148"/>
      <c r="AG285" s="5"/>
      <c r="AH285" s="52"/>
    </row>
    <row r="286" spans="2:35" outlineLevel="1" x14ac:dyDescent="0.25">
      <c r="B286" s="109"/>
      <c r="C286" s="2" t="s">
        <v>191</v>
      </c>
      <c r="D286" s="113">
        <v>5</v>
      </c>
      <c r="E286" s="114">
        <v>5</v>
      </c>
      <c r="F286" s="114"/>
      <c r="G286" s="259" t="s">
        <v>173</v>
      </c>
      <c r="H286" s="72">
        <v>10000</v>
      </c>
      <c r="I286" s="72"/>
      <c r="J286" s="73">
        <f t="shared" si="28"/>
        <v>50000</v>
      </c>
      <c r="K286" s="337">
        <f t="shared" si="29"/>
        <v>50000</v>
      </c>
      <c r="L286" s="88">
        <f t="shared" si="29"/>
        <v>0</v>
      </c>
      <c r="M286" s="336" t="s">
        <v>214</v>
      </c>
      <c r="N286" s="51">
        <f t="shared" si="22"/>
        <v>0</v>
      </c>
      <c r="P286" s="89"/>
      <c r="X286" s="148"/>
      <c r="Y286" s="183"/>
      <c r="Z286" s="52"/>
      <c r="AA286" s="89"/>
      <c r="AB286" s="89"/>
      <c r="AC286" s="1"/>
      <c r="AE286" s="3"/>
      <c r="AF286" s="148"/>
      <c r="AG286" s="5"/>
      <c r="AH286" s="52"/>
    </row>
    <row r="287" spans="2:35" outlineLevel="1" x14ac:dyDescent="0.25">
      <c r="B287" s="109"/>
      <c r="C287" s="2" t="s">
        <v>192</v>
      </c>
      <c r="D287" s="113">
        <v>1</v>
      </c>
      <c r="E287" s="114">
        <v>1</v>
      </c>
      <c r="F287" s="114"/>
      <c r="G287" s="259" t="s">
        <v>173</v>
      </c>
      <c r="H287" s="72">
        <v>8000</v>
      </c>
      <c r="I287" s="72"/>
      <c r="J287" s="73">
        <f t="shared" si="28"/>
        <v>8000</v>
      </c>
      <c r="K287" s="337">
        <f t="shared" si="29"/>
        <v>8000</v>
      </c>
      <c r="L287" s="88">
        <f t="shared" si="29"/>
        <v>0</v>
      </c>
      <c r="M287" s="336"/>
      <c r="N287" s="51">
        <f t="shared" si="22"/>
        <v>0</v>
      </c>
      <c r="P287" s="89"/>
      <c r="X287" s="148"/>
      <c r="Y287" s="183"/>
      <c r="Z287" s="52"/>
      <c r="AA287" s="89"/>
      <c r="AB287" s="89"/>
      <c r="AC287" s="1"/>
      <c r="AE287" s="3"/>
      <c r="AF287" s="148"/>
      <c r="AG287" s="5"/>
      <c r="AH287" s="52"/>
    </row>
    <row r="288" spans="2:35" outlineLevel="1" x14ac:dyDescent="0.25">
      <c r="B288" s="109"/>
      <c r="C288" s="2" t="s">
        <v>193</v>
      </c>
      <c r="D288" s="113">
        <v>4</v>
      </c>
      <c r="E288" s="114">
        <v>4</v>
      </c>
      <c r="F288" s="114"/>
      <c r="G288" s="259" t="s">
        <v>173</v>
      </c>
      <c r="H288" s="72">
        <v>20000</v>
      </c>
      <c r="I288" s="72"/>
      <c r="J288" s="73">
        <f t="shared" si="28"/>
        <v>80000</v>
      </c>
      <c r="K288" s="337">
        <f t="shared" si="29"/>
        <v>80000</v>
      </c>
      <c r="L288" s="88">
        <f t="shared" si="29"/>
        <v>0</v>
      </c>
      <c r="M288" s="336"/>
      <c r="N288" s="51">
        <f t="shared" si="22"/>
        <v>0</v>
      </c>
      <c r="P288" s="89"/>
      <c r="X288" s="148"/>
      <c r="Y288" s="183"/>
      <c r="Z288" s="52"/>
      <c r="AA288" s="89"/>
      <c r="AB288" s="89"/>
      <c r="AC288" s="1"/>
      <c r="AE288" s="3"/>
      <c r="AF288" s="148"/>
      <c r="AG288" s="5"/>
      <c r="AH288" s="52"/>
    </row>
    <row r="289" spans="2:34" ht="15" outlineLevel="1" x14ac:dyDescent="0.25">
      <c r="B289" s="109"/>
      <c r="D289" s="113"/>
      <c r="E289" s="114"/>
      <c r="F289" s="114"/>
      <c r="G289" s="259"/>
      <c r="H289" s="72"/>
      <c r="I289" s="72"/>
      <c r="J289" s="72"/>
      <c r="K289" s="72"/>
      <c r="L289" s="176"/>
      <c r="M289" s="50"/>
      <c r="N289" s="51">
        <f t="shared" si="22"/>
        <v>0</v>
      </c>
      <c r="P289" s="89"/>
      <c r="X289" s="148"/>
      <c r="Z289" s="52"/>
      <c r="AC289" s="1"/>
      <c r="AE289" s="3"/>
      <c r="AF289" s="148"/>
      <c r="AG289" s="5"/>
      <c r="AH289" s="52"/>
    </row>
    <row r="290" spans="2:34" ht="15" outlineLevel="1" x14ac:dyDescent="0.25">
      <c r="B290" s="109"/>
      <c r="C290" s="82" t="s">
        <v>194</v>
      </c>
      <c r="D290" s="113"/>
      <c r="E290" s="114"/>
      <c r="F290" s="114"/>
      <c r="G290" s="259"/>
      <c r="H290" s="72"/>
      <c r="I290" s="72"/>
      <c r="J290" s="72"/>
      <c r="K290" s="72"/>
      <c r="L290" s="176">
        <f t="shared" ref="L290:L297" si="30">D290*H290</f>
        <v>0</v>
      </c>
      <c r="M290" s="50"/>
      <c r="N290" s="51">
        <f t="shared" si="22"/>
        <v>0</v>
      </c>
      <c r="P290" s="89"/>
      <c r="V290" s="83"/>
      <c r="X290" s="148"/>
      <c r="Z290" s="52"/>
      <c r="AC290" s="1"/>
      <c r="AD290" s="83"/>
      <c r="AE290" s="3"/>
      <c r="AF290" s="148"/>
      <c r="AG290" s="5"/>
      <c r="AH290" s="52"/>
    </row>
    <row r="291" spans="2:34" ht="15" outlineLevel="1" x14ac:dyDescent="0.25">
      <c r="B291" s="109">
        <v>31</v>
      </c>
      <c r="C291" s="110" t="s">
        <v>195</v>
      </c>
      <c r="D291" s="113">
        <v>3</v>
      </c>
      <c r="E291" s="114">
        <v>2</v>
      </c>
      <c r="F291" s="114">
        <v>2</v>
      </c>
      <c r="G291" s="259" t="s">
        <v>196</v>
      </c>
      <c r="H291" s="72">
        <v>4800</v>
      </c>
      <c r="I291" s="72">
        <v>4233.1000000000004</v>
      </c>
      <c r="J291" s="72">
        <f>+(D291*H291)</f>
        <v>14400</v>
      </c>
      <c r="K291" s="72">
        <f>+(E291*H291)</f>
        <v>9600</v>
      </c>
      <c r="L291" s="176">
        <f>+(F291*I291)</f>
        <v>8466.2000000000007</v>
      </c>
      <c r="M291" s="50"/>
      <c r="N291" s="51">
        <f t="shared" si="22"/>
        <v>-4800</v>
      </c>
      <c r="P291" s="89"/>
      <c r="X291" s="148"/>
      <c r="Z291" s="52"/>
      <c r="AA291" s="89"/>
      <c r="AB291" s="89"/>
      <c r="AC291" s="1"/>
      <c r="AE291" s="3"/>
      <c r="AF291" s="148"/>
      <c r="AG291" s="5"/>
      <c r="AH291" s="52"/>
    </row>
    <row r="292" spans="2:34" ht="15" outlineLevel="1" x14ac:dyDescent="0.25">
      <c r="B292" s="109">
        <v>32</v>
      </c>
      <c r="C292" s="2" t="s">
        <v>197</v>
      </c>
      <c r="D292" s="128">
        <v>5</v>
      </c>
      <c r="E292" s="128">
        <v>2</v>
      </c>
      <c r="F292" s="128">
        <v>2</v>
      </c>
      <c r="G292" s="146" t="s">
        <v>196</v>
      </c>
      <c r="H292" s="72">
        <v>5000</v>
      </c>
      <c r="I292" s="72">
        <v>4603.1499999999996</v>
      </c>
      <c r="J292" s="72">
        <f t="shared" ref="J292:J293" si="31">+(D292*H292)</f>
        <v>25000</v>
      </c>
      <c r="K292" s="72">
        <f t="shared" ref="K292:L293" si="32">+(E292*H292)</f>
        <v>10000</v>
      </c>
      <c r="L292" s="176">
        <f t="shared" si="32"/>
        <v>9206.2999999999993</v>
      </c>
      <c r="M292" s="50"/>
      <c r="N292" s="51">
        <f t="shared" si="22"/>
        <v>-15000</v>
      </c>
      <c r="P292" s="89"/>
      <c r="X292" s="148"/>
      <c r="Z292" s="52"/>
      <c r="AA292" s="89"/>
      <c r="AB292" s="89"/>
      <c r="AC292" s="1"/>
      <c r="AE292" s="3"/>
      <c r="AF292" s="148"/>
      <c r="AG292" s="5"/>
      <c r="AH292" s="52"/>
    </row>
    <row r="293" spans="2:34" ht="15" outlineLevel="1" x14ac:dyDescent="0.25">
      <c r="B293" s="109">
        <v>33</v>
      </c>
      <c r="C293" s="2" t="s">
        <v>198</v>
      </c>
      <c r="D293" s="128">
        <v>10</v>
      </c>
      <c r="E293" s="128">
        <v>6</v>
      </c>
      <c r="F293" s="128">
        <v>6</v>
      </c>
      <c r="G293" s="146" t="s">
        <v>196</v>
      </c>
      <c r="H293" s="72">
        <v>12000</v>
      </c>
      <c r="I293" s="72">
        <v>10612</v>
      </c>
      <c r="J293" s="72">
        <f t="shared" si="31"/>
        <v>120000</v>
      </c>
      <c r="K293" s="72">
        <f t="shared" si="32"/>
        <v>72000</v>
      </c>
      <c r="L293" s="176">
        <f t="shared" si="32"/>
        <v>63672</v>
      </c>
      <c r="M293" s="50"/>
      <c r="N293" s="51">
        <f t="shared" si="22"/>
        <v>-48000</v>
      </c>
      <c r="P293" s="89"/>
      <c r="X293" s="148"/>
      <c r="Z293" s="52"/>
      <c r="AA293" s="89"/>
      <c r="AB293" s="89"/>
      <c r="AC293" s="1"/>
      <c r="AE293" s="3"/>
      <c r="AF293" s="148"/>
      <c r="AG293" s="5"/>
      <c r="AH293" s="52"/>
    </row>
    <row r="294" spans="2:34" ht="27" outlineLevel="1" x14ac:dyDescent="0.25">
      <c r="B294" s="109">
        <v>34</v>
      </c>
      <c r="C294" s="261" t="s">
        <v>199</v>
      </c>
      <c r="D294" s="262">
        <f>[1]Quantaties!D69</f>
        <v>1</v>
      </c>
      <c r="E294" s="262">
        <v>1</v>
      </c>
      <c r="F294" s="262">
        <v>1</v>
      </c>
      <c r="G294" s="263" t="s">
        <v>196</v>
      </c>
      <c r="H294" s="264">
        <v>15000</v>
      </c>
      <c r="I294" s="264">
        <v>12000</v>
      </c>
      <c r="J294" s="72">
        <f>+(D294*H294)</f>
        <v>15000</v>
      </c>
      <c r="K294" s="72">
        <f>+(E294*H294)</f>
        <v>15000</v>
      </c>
      <c r="L294" s="176">
        <f>+(F294*I294)</f>
        <v>12000</v>
      </c>
      <c r="M294" s="50"/>
      <c r="N294" s="51">
        <f t="shared" si="22"/>
        <v>0</v>
      </c>
      <c r="P294" s="89"/>
      <c r="X294" s="148"/>
      <c r="Z294" s="52"/>
      <c r="AA294" s="89"/>
      <c r="AB294" s="89"/>
      <c r="AC294" s="1"/>
      <c r="AE294" s="3"/>
      <c r="AF294" s="148"/>
      <c r="AG294" s="5"/>
      <c r="AH294" s="52"/>
    </row>
    <row r="295" spans="2:34" ht="27" outlineLevel="1" x14ac:dyDescent="0.25">
      <c r="B295" s="109">
        <v>35</v>
      </c>
      <c r="C295" s="261" t="s">
        <v>200</v>
      </c>
      <c r="D295" s="262">
        <f>[1]Quantaties!D68</f>
        <v>4</v>
      </c>
      <c r="E295" s="262">
        <v>4</v>
      </c>
      <c r="F295" s="262">
        <v>4</v>
      </c>
      <c r="G295" s="263" t="s">
        <v>196</v>
      </c>
      <c r="H295" s="264">
        <v>15000</v>
      </c>
      <c r="I295" s="264">
        <v>12000</v>
      </c>
      <c r="J295" s="72">
        <f>+(D295*H295)</f>
        <v>60000</v>
      </c>
      <c r="K295" s="72">
        <f>+(E295*H295)</f>
        <v>60000</v>
      </c>
      <c r="L295" s="176">
        <f>+(F295*I295)</f>
        <v>48000</v>
      </c>
      <c r="M295" s="50"/>
      <c r="N295" s="51">
        <f t="shared" si="22"/>
        <v>0</v>
      </c>
      <c r="P295" s="89"/>
      <c r="X295" s="148"/>
      <c r="Z295" s="52"/>
      <c r="AA295" s="89"/>
      <c r="AB295" s="89"/>
      <c r="AC295" s="1"/>
      <c r="AE295" s="3"/>
      <c r="AF295" s="148"/>
      <c r="AG295" s="5"/>
      <c r="AH295" s="52"/>
    </row>
    <row r="296" spans="2:34" ht="15" outlineLevel="1" x14ac:dyDescent="0.25">
      <c r="B296" s="109"/>
      <c r="C296" s="110"/>
      <c r="D296" s="110"/>
      <c r="E296" s="110"/>
      <c r="F296" s="110"/>
      <c r="G296" s="110"/>
      <c r="H296" s="110"/>
      <c r="I296" s="110"/>
      <c r="J296" s="110"/>
      <c r="K296" s="110"/>
      <c r="L296" s="176">
        <f t="shared" si="30"/>
        <v>0</v>
      </c>
      <c r="M296" s="50"/>
      <c r="N296" s="51">
        <f t="shared" si="22"/>
        <v>0</v>
      </c>
      <c r="P296" s="89"/>
      <c r="W296" s="2"/>
      <c r="X296" s="2"/>
      <c r="Y296" s="2"/>
      <c r="Z296" s="52"/>
      <c r="AA296" s="89"/>
      <c r="AB296" s="89"/>
      <c r="AC296" s="1"/>
      <c r="AH296" s="52"/>
    </row>
    <row r="297" spans="2:34" ht="15" outlineLevel="1" x14ac:dyDescent="0.25">
      <c r="B297" s="109"/>
      <c r="C297" s="82" t="s">
        <v>201</v>
      </c>
      <c r="D297" s="113"/>
      <c r="E297" s="113"/>
      <c r="F297" s="113"/>
      <c r="G297" s="146"/>
      <c r="H297" s="72"/>
      <c r="I297" s="72"/>
      <c r="J297" s="72"/>
      <c r="K297" s="72"/>
      <c r="L297" s="176">
        <f t="shared" si="30"/>
        <v>0</v>
      </c>
      <c r="M297" s="50"/>
      <c r="N297" s="51">
        <f t="shared" ref="N297:N302" si="33">K297-J297</f>
        <v>0</v>
      </c>
      <c r="P297" s="89"/>
      <c r="V297" s="83"/>
      <c r="X297" s="148"/>
      <c r="Z297" s="52"/>
      <c r="AC297" s="1"/>
      <c r="AD297" s="83"/>
      <c r="AE297" s="3"/>
      <c r="AF297" s="148"/>
      <c r="AG297" s="5"/>
      <c r="AH297" s="52"/>
    </row>
    <row r="298" spans="2:34" ht="27" outlineLevel="1" x14ac:dyDescent="0.25">
      <c r="B298" s="109">
        <v>37</v>
      </c>
      <c r="C298" s="110" t="s">
        <v>202</v>
      </c>
      <c r="D298" s="113">
        <v>8</v>
      </c>
      <c r="E298" s="113">
        <v>10</v>
      </c>
      <c r="F298" s="113">
        <v>10</v>
      </c>
      <c r="G298" s="146" t="s">
        <v>196</v>
      </c>
      <c r="H298" s="72">
        <v>13000</v>
      </c>
      <c r="I298" s="72">
        <v>3907.6</v>
      </c>
      <c r="J298" s="72">
        <f>+(D298*H298)</f>
        <v>104000</v>
      </c>
      <c r="K298" s="72">
        <f>+(E298*H298)</f>
        <v>130000</v>
      </c>
      <c r="L298" s="176">
        <f>+(F298*I298)</f>
        <v>39076</v>
      </c>
      <c r="M298" s="50"/>
      <c r="N298" s="51">
        <f t="shared" si="33"/>
        <v>26000</v>
      </c>
      <c r="P298" s="89"/>
      <c r="X298" s="148"/>
      <c r="Z298" s="52"/>
      <c r="AA298" s="89"/>
      <c r="AB298" s="89"/>
      <c r="AC298" s="1"/>
      <c r="AE298" s="3"/>
      <c r="AF298" s="148"/>
      <c r="AG298" s="5"/>
      <c r="AH298" s="52"/>
    </row>
    <row r="299" spans="2:34" ht="15" outlineLevel="1" x14ac:dyDescent="0.25">
      <c r="B299" s="109"/>
      <c r="C299" s="110"/>
      <c r="D299" s="159"/>
      <c r="E299" s="159"/>
      <c r="F299" s="159"/>
      <c r="G299" s="146"/>
      <c r="H299" s="72"/>
      <c r="I299" s="72"/>
      <c r="J299" s="72"/>
      <c r="K299" s="72"/>
      <c r="L299" s="176"/>
      <c r="M299" s="50"/>
      <c r="N299" s="51">
        <f t="shared" si="33"/>
        <v>0</v>
      </c>
      <c r="P299" s="89"/>
      <c r="W299" s="160"/>
      <c r="Z299" s="52"/>
      <c r="AC299" s="1"/>
      <c r="AE299" s="160"/>
      <c r="AF299" s="148"/>
      <c r="AG299" s="5"/>
      <c r="AH299" s="52"/>
    </row>
    <row r="300" spans="2:34" ht="15" outlineLevel="1" x14ac:dyDescent="0.25">
      <c r="C300" s="110"/>
      <c r="D300" s="159"/>
      <c r="E300" s="159"/>
      <c r="F300" s="159"/>
      <c r="G300" s="146"/>
      <c r="H300" s="72"/>
      <c r="I300" s="72"/>
      <c r="J300" s="72"/>
      <c r="K300" s="72"/>
      <c r="L300" s="176">
        <f>D300*H300</f>
        <v>0</v>
      </c>
      <c r="M300" s="265"/>
      <c r="N300" s="51">
        <f t="shared" si="33"/>
        <v>0</v>
      </c>
      <c r="P300" s="89"/>
      <c r="W300" s="160"/>
      <c r="Z300" s="52"/>
      <c r="AC300" s="1"/>
      <c r="AE300" s="160"/>
      <c r="AF300" s="148"/>
      <c r="AG300" s="5"/>
      <c r="AH300" s="52"/>
    </row>
    <row r="301" spans="2:34" ht="15" outlineLevel="1" x14ac:dyDescent="0.25">
      <c r="C301" s="82" t="s">
        <v>203</v>
      </c>
      <c r="D301" s="113"/>
      <c r="E301" s="113"/>
      <c r="F301" s="113"/>
      <c r="G301" s="146"/>
      <c r="H301" s="72"/>
      <c r="I301" s="72"/>
      <c r="J301" s="72"/>
      <c r="K301" s="72"/>
      <c r="L301" s="176">
        <f>D301*H301</f>
        <v>0</v>
      </c>
      <c r="N301" s="51">
        <f t="shared" si="33"/>
        <v>0</v>
      </c>
      <c r="P301" s="89"/>
      <c r="V301" s="83"/>
      <c r="X301" s="148"/>
      <c r="Z301" s="183"/>
      <c r="AC301" s="1"/>
      <c r="AE301" s="160"/>
      <c r="AF301" s="148"/>
      <c r="AG301" s="5"/>
      <c r="AH301" s="52"/>
    </row>
    <row r="302" spans="2:34" outlineLevel="1" x14ac:dyDescent="0.25">
      <c r="B302" s="109"/>
      <c r="C302" s="110" t="s">
        <v>204</v>
      </c>
      <c r="D302" s="113">
        <v>130</v>
      </c>
      <c r="E302" s="113">
        <v>130</v>
      </c>
      <c r="F302" s="266"/>
      <c r="G302" s="146" t="s">
        <v>103</v>
      </c>
      <c r="H302" s="72">
        <v>1200</v>
      </c>
      <c r="I302" s="72"/>
      <c r="J302" s="72">
        <f t="shared" ref="J302:J303" si="34">+(D302*H302)</f>
        <v>156000</v>
      </c>
      <c r="K302" s="72">
        <f t="shared" ref="K302:L303" si="35">+(E302*H302)</f>
        <v>156000</v>
      </c>
      <c r="L302" s="267">
        <f t="shared" si="35"/>
        <v>0</v>
      </c>
      <c r="M302" s="336" t="s">
        <v>214</v>
      </c>
      <c r="N302" s="51">
        <f t="shared" si="33"/>
        <v>0</v>
      </c>
      <c r="P302" s="89"/>
      <c r="X302" s="148"/>
      <c r="Z302" s="183"/>
      <c r="AA302" s="89"/>
      <c r="AB302" s="89"/>
      <c r="AC302" s="1"/>
      <c r="AE302" s="160"/>
      <c r="AF302" s="148"/>
      <c r="AG302" s="5"/>
      <c r="AH302" s="52"/>
    </row>
    <row r="303" spans="2:34" outlineLevel="1" x14ac:dyDescent="0.25">
      <c r="B303" s="109"/>
      <c r="C303" s="110" t="s">
        <v>205</v>
      </c>
      <c r="D303" s="113">
        <v>3</v>
      </c>
      <c r="E303" s="113">
        <v>3</v>
      </c>
      <c r="F303" s="266"/>
      <c r="G303" s="146" t="s">
        <v>196</v>
      </c>
      <c r="H303" s="72">
        <v>3500</v>
      </c>
      <c r="I303" s="72"/>
      <c r="J303" s="72">
        <f t="shared" si="34"/>
        <v>10500</v>
      </c>
      <c r="K303" s="72">
        <f t="shared" si="35"/>
        <v>10500</v>
      </c>
      <c r="L303" s="267">
        <f t="shared" si="35"/>
        <v>0</v>
      </c>
      <c r="M303" s="336"/>
      <c r="N303" s="51">
        <f>K303-J303</f>
        <v>0</v>
      </c>
      <c r="P303" s="89"/>
      <c r="X303" s="148"/>
      <c r="Z303" s="183"/>
      <c r="AA303" s="89"/>
      <c r="AB303" s="89"/>
      <c r="AC303" s="1"/>
      <c r="AE303" s="160"/>
      <c r="AF303" s="148"/>
      <c r="AG303" s="5"/>
      <c r="AH303" s="52"/>
    </row>
    <row r="304" spans="2:34" ht="14.25" outlineLevel="1" thickBot="1" x14ac:dyDescent="0.3">
      <c r="B304" s="109"/>
      <c r="C304" s="110"/>
      <c r="D304" s="159"/>
      <c r="E304" s="159"/>
      <c r="F304" s="159"/>
      <c r="G304" s="146"/>
      <c r="H304" s="72"/>
      <c r="I304" s="268"/>
      <c r="J304" s="5"/>
      <c r="K304" s="5"/>
      <c r="L304" s="176"/>
      <c r="M304" s="336"/>
      <c r="N304" s="51"/>
      <c r="P304" s="89"/>
      <c r="W304" s="160"/>
      <c r="Z304" s="52"/>
      <c r="AC304" s="1"/>
      <c r="AE304" s="160"/>
      <c r="AF304" s="4"/>
      <c r="AG304" s="5"/>
      <c r="AH304" s="52"/>
    </row>
    <row r="305" spans="2:34" ht="15.75" thickBot="1" x14ac:dyDescent="0.3">
      <c r="B305" s="109"/>
      <c r="D305" s="113"/>
      <c r="E305" s="114"/>
      <c r="F305" s="114"/>
      <c r="G305" s="301" t="s">
        <v>206</v>
      </c>
      <c r="H305" s="302"/>
      <c r="I305" s="115"/>
      <c r="J305" s="116">
        <f>+SUM(J236:J303)</f>
        <v>1633706.9899999998</v>
      </c>
      <c r="K305" s="116">
        <f>+SUM(K236:K303)</f>
        <v>1679513.37</v>
      </c>
      <c r="L305" s="117">
        <f>SUM(L236:L303)</f>
        <v>1076790.1400000001</v>
      </c>
      <c r="M305" s="50"/>
      <c r="N305" s="51">
        <f>K305-J305</f>
        <v>45806.380000000354</v>
      </c>
      <c r="P305" s="89"/>
      <c r="X305" s="296"/>
      <c r="Y305" s="296"/>
      <c r="Z305" s="119"/>
      <c r="AA305" s="119"/>
      <c r="AB305" s="119"/>
      <c r="AC305" s="1"/>
      <c r="AE305" s="3"/>
      <c r="AF305" s="296"/>
      <c r="AG305" s="296"/>
      <c r="AH305" s="119"/>
    </row>
    <row r="306" spans="2:34" ht="15.75" thickBot="1" x14ac:dyDescent="0.3">
      <c r="B306" s="120"/>
      <c r="C306" s="110"/>
      <c r="D306" s="269"/>
      <c r="G306" s="297" t="s">
        <v>131</v>
      </c>
      <c r="H306" s="298"/>
      <c r="I306" s="118"/>
      <c r="J306" s="118"/>
      <c r="K306" s="118"/>
      <c r="L306" s="270">
        <f>L305</f>
        <v>1076790.1400000001</v>
      </c>
      <c r="M306" s="50"/>
      <c r="N306" s="51"/>
      <c r="P306" s="89"/>
      <c r="X306" s="296"/>
      <c r="Y306" s="296"/>
      <c r="Z306" s="119"/>
      <c r="AA306" s="119"/>
      <c r="AB306" s="119"/>
      <c r="AC306" s="1"/>
      <c r="AE306" s="3"/>
      <c r="AF306" s="296"/>
      <c r="AG306" s="296"/>
      <c r="AH306" s="119"/>
    </row>
    <row r="307" spans="2:34" ht="15" x14ac:dyDescent="0.25">
      <c r="B307" s="271"/>
      <c r="C307" s="235"/>
      <c r="D307" s="92"/>
      <c r="E307" s="92"/>
      <c r="F307" s="92"/>
      <c r="G307" s="236"/>
      <c r="H307" s="3"/>
      <c r="I307" s="3"/>
      <c r="J307" s="3"/>
      <c r="K307" s="3"/>
      <c r="L307" s="183"/>
      <c r="M307" s="265"/>
      <c r="N307" s="51"/>
      <c r="O307" s="89"/>
      <c r="P307" s="89"/>
      <c r="U307" s="104"/>
      <c r="V307" s="235"/>
      <c r="W307" s="92"/>
      <c r="X307" s="236"/>
      <c r="Y307" s="3"/>
      <c r="Z307" s="52"/>
      <c r="AC307" s="104"/>
      <c r="AD307" s="235"/>
      <c r="AE307" s="92"/>
      <c r="AF307" s="236"/>
      <c r="AG307" s="3"/>
      <c r="AH307" s="52"/>
    </row>
    <row r="308" spans="2:34" ht="15" x14ac:dyDescent="0.25">
      <c r="B308" s="271"/>
      <c r="C308" s="235"/>
      <c r="D308" s="92"/>
      <c r="E308" s="92"/>
      <c r="F308" s="92"/>
      <c r="G308" s="236"/>
      <c r="H308" s="3"/>
      <c r="I308" s="3"/>
      <c r="J308" s="3"/>
      <c r="K308" s="3"/>
      <c r="L308" s="183"/>
      <c r="M308" s="265"/>
      <c r="N308" s="51"/>
      <c r="O308" s="89"/>
      <c r="P308" s="272"/>
      <c r="U308" s="104"/>
      <c r="V308" s="235"/>
      <c r="X308" s="236"/>
      <c r="Y308" s="3"/>
      <c r="Z308" s="273"/>
      <c r="AC308" s="104"/>
      <c r="AD308" s="235"/>
      <c r="AE308" s="92"/>
      <c r="AF308" s="236"/>
      <c r="AG308" s="3"/>
      <c r="AH308" s="273"/>
    </row>
    <row r="309" spans="2:34" ht="15" x14ac:dyDescent="0.25">
      <c r="B309" s="274" t="s">
        <v>30</v>
      </c>
      <c r="C309" s="47"/>
      <c r="D309" s="13"/>
      <c r="E309" s="13"/>
      <c r="F309" s="13"/>
      <c r="G309" s="47"/>
      <c r="H309" s="10"/>
      <c r="I309" s="10"/>
      <c r="J309" s="10"/>
      <c r="K309" s="10"/>
      <c r="L309" s="275"/>
      <c r="M309" s="265"/>
      <c r="N309" s="51"/>
      <c r="O309" s="89"/>
      <c r="P309" s="272"/>
      <c r="U309" s="58"/>
      <c r="V309" s="47"/>
      <c r="W309" s="13"/>
      <c r="X309" s="47"/>
      <c r="Y309" s="10"/>
      <c r="Z309" s="276"/>
      <c r="AC309" s="58"/>
      <c r="AD309" s="47"/>
      <c r="AE309" s="13"/>
      <c r="AF309" s="47"/>
      <c r="AG309" s="10"/>
      <c r="AH309" s="276"/>
    </row>
    <row r="310" spans="2:34" ht="15" x14ac:dyDescent="0.25">
      <c r="B310" s="274">
        <v>8</v>
      </c>
      <c r="C310" s="81"/>
      <c r="D310" s="215"/>
      <c r="E310" s="215"/>
      <c r="F310" s="215"/>
      <c r="I310" s="5"/>
      <c r="J310" s="5"/>
      <c r="K310" s="5"/>
      <c r="L310" s="275"/>
      <c r="M310" s="265"/>
      <c r="N310" s="51"/>
      <c r="O310" s="89"/>
      <c r="P310" s="272"/>
      <c r="U310" s="58"/>
      <c r="V310" s="81"/>
      <c r="W310" s="215"/>
      <c r="Z310" s="276"/>
      <c r="AC310" s="58"/>
      <c r="AD310" s="81"/>
      <c r="AE310" s="215"/>
      <c r="AF310" s="4"/>
      <c r="AG310" s="5"/>
      <c r="AH310" s="276"/>
    </row>
    <row r="311" spans="2:34" ht="15" outlineLevel="1" x14ac:dyDescent="0.25">
      <c r="B311" s="274"/>
      <c r="C311" s="81"/>
      <c r="D311" s="215"/>
      <c r="E311" s="215"/>
      <c r="F311" s="215"/>
      <c r="I311" s="5"/>
      <c r="J311" s="5"/>
      <c r="K311" s="5"/>
      <c r="L311" s="275"/>
      <c r="M311" s="265"/>
      <c r="N311" s="51"/>
      <c r="O311" s="89"/>
      <c r="P311" s="272"/>
      <c r="U311" s="58"/>
      <c r="V311" s="81"/>
      <c r="W311" s="215"/>
      <c r="Z311" s="276"/>
      <c r="AC311" s="58"/>
      <c r="AD311" s="81"/>
      <c r="AE311" s="215"/>
      <c r="AF311" s="4"/>
      <c r="AG311" s="5"/>
      <c r="AH311" s="276"/>
    </row>
    <row r="312" spans="2:34" ht="15" outlineLevel="1" x14ac:dyDescent="0.25">
      <c r="B312" s="274"/>
      <c r="C312" s="81"/>
      <c r="D312" s="215"/>
      <c r="E312" s="215"/>
      <c r="F312" s="215"/>
      <c r="I312" s="5"/>
      <c r="J312" s="5"/>
      <c r="K312" s="5"/>
      <c r="L312" s="275"/>
      <c r="M312" s="265"/>
      <c r="N312" s="51"/>
      <c r="O312" s="89"/>
      <c r="P312" s="272"/>
      <c r="U312" s="58"/>
      <c r="V312" s="81"/>
      <c r="W312" s="215"/>
      <c r="Z312" s="276"/>
      <c r="AC312" s="58"/>
      <c r="AD312" s="81"/>
      <c r="AE312" s="215"/>
      <c r="AF312" s="4"/>
      <c r="AG312" s="5"/>
      <c r="AH312" s="276"/>
    </row>
    <row r="313" spans="2:34" ht="15" outlineLevel="1" x14ac:dyDescent="0.25">
      <c r="B313" s="274"/>
      <c r="C313" s="205"/>
      <c r="D313" s="215"/>
      <c r="E313" s="215"/>
      <c r="F313" s="215"/>
      <c r="I313" s="5"/>
      <c r="J313" s="5"/>
      <c r="K313" s="5"/>
      <c r="L313" s="275"/>
      <c r="M313" s="265"/>
      <c r="N313" s="51"/>
      <c r="O313" s="89"/>
      <c r="P313" s="272"/>
      <c r="U313" s="58"/>
      <c r="V313" s="205"/>
      <c r="W313" s="215"/>
      <c r="Z313" s="276"/>
      <c r="AC313" s="58"/>
      <c r="AD313" s="205"/>
      <c r="AE313" s="215"/>
      <c r="AF313" s="4"/>
      <c r="AG313" s="5"/>
      <c r="AH313" s="276"/>
    </row>
    <row r="314" spans="2:34" ht="15" outlineLevel="1" x14ac:dyDescent="0.25">
      <c r="B314" s="277">
        <v>8.1</v>
      </c>
      <c r="C314" s="83"/>
      <c r="D314" s="215"/>
      <c r="E314" s="215"/>
      <c r="F314" s="215"/>
      <c r="I314" s="5"/>
      <c r="J314" s="5"/>
      <c r="K314" s="5"/>
      <c r="L314" s="275"/>
      <c r="M314" s="265"/>
      <c r="N314" s="51"/>
      <c r="O314" s="89"/>
      <c r="P314" s="272"/>
      <c r="V314" s="83"/>
      <c r="W314" s="215"/>
      <c r="Z314" s="276"/>
      <c r="AC314" s="1"/>
      <c r="AD314" s="83"/>
      <c r="AE314" s="215"/>
      <c r="AF314" s="4"/>
      <c r="AG314" s="5"/>
      <c r="AH314" s="276"/>
    </row>
    <row r="315" spans="2:34" ht="15" outlineLevel="1" x14ac:dyDescent="0.25">
      <c r="B315" s="277">
        <v>8.1999999999999993</v>
      </c>
      <c r="C315" s="278"/>
      <c r="D315" s="279"/>
      <c r="E315" s="279"/>
      <c r="F315" s="279"/>
      <c r="I315" s="5"/>
      <c r="J315" s="5"/>
      <c r="K315" s="5"/>
      <c r="L315" s="275"/>
      <c r="M315" s="265"/>
      <c r="N315" s="51"/>
      <c r="O315" s="89"/>
      <c r="P315" s="272"/>
      <c r="V315" s="278"/>
      <c r="W315" s="279"/>
      <c r="Z315" s="276"/>
      <c r="AC315" s="1"/>
      <c r="AD315" s="278"/>
      <c r="AE315" s="279"/>
      <c r="AF315" s="4"/>
      <c r="AG315" s="5"/>
      <c r="AH315" s="276"/>
    </row>
    <row r="316" spans="2:34" ht="15" outlineLevel="1" x14ac:dyDescent="0.25">
      <c r="B316" s="277"/>
      <c r="C316" s="278"/>
      <c r="D316" s="215"/>
      <c r="E316" s="215"/>
      <c r="F316" s="215"/>
      <c r="I316" s="5"/>
      <c r="J316" s="5"/>
      <c r="K316" s="5"/>
      <c r="L316" s="275"/>
      <c r="M316" s="265"/>
      <c r="N316" s="51"/>
      <c r="O316" s="89"/>
      <c r="P316" s="272"/>
      <c r="V316" s="278"/>
      <c r="W316" s="215"/>
      <c r="Z316" s="276"/>
      <c r="AC316" s="1"/>
      <c r="AD316" s="278"/>
      <c r="AE316" s="215"/>
      <c r="AF316" s="4"/>
      <c r="AG316" s="5"/>
      <c r="AH316" s="276"/>
    </row>
    <row r="317" spans="2:34" ht="15" outlineLevel="1" x14ac:dyDescent="0.25">
      <c r="B317" s="277">
        <v>8.3000000000000007</v>
      </c>
      <c r="C317" s="205"/>
      <c r="D317" s="215"/>
      <c r="E317" s="215"/>
      <c r="F317" s="215"/>
      <c r="I317" s="5"/>
      <c r="J317" s="5"/>
      <c r="K317" s="5"/>
      <c r="L317" s="275"/>
      <c r="M317" s="265"/>
      <c r="N317" s="51"/>
      <c r="O317" s="89"/>
      <c r="P317" s="272"/>
      <c r="V317" s="205"/>
      <c r="W317" s="215"/>
      <c r="Z317" s="276"/>
      <c r="AC317" s="1"/>
      <c r="AD317" s="205"/>
      <c r="AE317" s="215"/>
      <c r="AF317" s="4"/>
      <c r="AG317" s="5"/>
      <c r="AH317" s="276"/>
    </row>
    <row r="318" spans="2:34" ht="15" outlineLevel="1" x14ac:dyDescent="0.25">
      <c r="B318" s="277"/>
      <c r="C318" s="158"/>
      <c r="D318" s="215"/>
      <c r="E318" s="215"/>
      <c r="F318" s="215"/>
      <c r="I318" s="5"/>
      <c r="J318" s="5"/>
      <c r="K318" s="5"/>
      <c r="L318" s="275"/>
      <c r="M318" s="265"/>
      <c r="N318" s="51"/>
      <c r="O318" s="89"/>
      <c r="P318" s="272"/>
      <c r="V318" s="158"/>
      <c r="W318" s="215"/>
      <c r="Z318" s="276"/>
      <c r="AC318" s="1"/>
      <c r="AD318" s="158"/>
      <c r="AE318" s="215"/>
      <c r="AF318" s="4"/>
      <c r="AG318" s="5"/>
      <c r="AH318" s="276"/>
    </row>
    <row r="319" spans="2:34" ht="15" outlineLevel="1" x14ac:dyDescent="0.25">
      <c r="B319" s="277"/>
      <c r="C319" s="83"/>
      <c r="D319" s="215"/>
      <c r="E319" s="215"/>
      <c r="F319" s="215"/>
      <c r="I319" s="5"/>
      <c r="J319" s="5"/>
      <c r="K319" s="5"/>
      <c r="L319" s="275"/>
      <c r="M319" s="265"/>
      <c r="N319" s="51"/>
      <c r="O319" s="89"/>
      <c r="P319" s="272"/>
      <c r="V319" s="83"/>
      <c r="W319" s="215"/>
      <c r="Z319" s="276"/>
      <c r="AC319" s="1"/>
      <c r="AD319" s="83"/>
      <c r="AE319" s="215"/>
      <c r="AF319" s="4"/>
      <c r="AG319" s="5"/>
      <c r="AH319" s="276"/>
    </row>
    <row r="320" spans="2:34" ht="15" outlineLevel="1" x14ac:dyDescent="0.25">
      <c r="B320" s="277">
        <v>8.4</v>
      </c>
      <c r="C320" s="158"/>
      <c r="D320" s="279"/>
      <c r="E320" s="279"/>
      <c r="F320" s="279"/>
      <c r="I320" s="5"/>
      <c r="J320" s="5"/>
      <c r="K320" s="5"/>
      <c r="L320" s="275"/>
      <c r="M320" s="265"/>
      <c r="N320" s="51"/>
      <c r="O320" s="89"/>
      <c r="P320" s="272"/>
      <c r="V320" s="158"/>
      <c r="W320" s="279"/>
      <c r="Z320" s="276"/>
      <c r="AC320" s="1"/>
      <c r="AD320" s="158"/>
      <c r="AE320" s="279"/>
      <c r="AF320" s="4"/>
      <c r="AG320" s="5"/>
      <c r="AH320" s="276"/>
    </row>
    <row r="321" spans="2:34" ht="15" outlineLevel="1" x14ac:dyDescent="0.25">
      <c r="B321" s="277">
        <v>8.5</v>
      </c>
      <c r="C321" s="91"/>
      <c r="D321" s="280"/>
      <c r="E321" s="280"/>
      <c r="F321" s="280"/>
      <c r="G321" s="148"/>
      <c r="I321" s="5"/>
      <c r="J321" s="5"/>
      <c r="K321" s="5"/>
      <c r="L321" s="275"/>
      <c r="M321" s="265"/>
      <c r="N321" s="51"/>
      <c r="O321" s="89"/>
      <c r="P321" s="272"/>
      <c r="V321" s="91"/>
      <c r="W321" s="280"/>
      <c r="X321" s="148"/>
      <c r="Z321" s="276"/>
      <c r="AC321" s="1"/>
      <c r="AD321" s="91"/>
      <c r="AE321" s="280"/>
      <c r="AF321" s="148"/>
      <c r="AG321" s="5"/>
      <c r="AH321" s="276"/>
    </row>
    <row r="322" spans="2:34" ht="15" outlineLevel="1" x14ac:dyDescent="0.25">
      <c r="B322" s="277"/>
      <c r="C322" s="91"/>
      <c r="D322" s="280"/>
      <c r="E322" s="280"/>
      <c r="F322" s="280"/>
      <c r="I322" s="5"/>
      <c r="J322" s="5"/>
      <c r="K322" s="5"/>
      <c r="L322" s="275"/>
      <c r="M322" s="265"/>
      <c r="N322" s="51"/>
      <c r="O322" s="89"/>
      <c r="P322" s="272"/>
      <c r="V322" s="91"/>
      <c r="W322" s="280"/>
      <c r="Z322" s="276"/>
      <c r="AC322" s="1"/>
      <c r="AD322" s="91"/>
      <c r="AE322" s="280"/>
      <c r="AF322" s="4"/>
      <c r="AG322" s="5"/>
      <c r="AH322" s="276"/>
    </row>
    <row r="323" spans="2:34" ht="54" customHeight="1" outlineLevel="1" x14ac:dyDescent="0.25">
      <c r="B323" s="277">
        <v>8.6</v>
      </c>
      <c r="C323" s="158"/>
      <c r="D323" s="215"/>
      <c r="E323" s="215"/>
      <c r="F323" s="215"/>
      <c r="I323" s="5"/>
      <c r="J323" s="5"/>
      <c r="K323" s="5"/>
      <c r="L323" s="275"/>
      <c r="M323" s="265"/>
      <c r="N323" s="51"/>
      <c r="O323" s="89"/>
      <c r="P323" s="272"/>
      <c r="V323" s="158"/>
      <c r="W323" s="215"/>
      <c r="Z323" s="276"/>
      <c r="AC323" s="1"/>
      <c r="AD323" s="158"/>
      <c r="AE323" s="215"/>
      <c r="AF323" s="4"/>
      <c r="AG323" s="5"/>
      <c r="AH323" s="276"/>
    </row>
    <row r="324" spans="2:34" ht="15" outlineLevel="1" x14ac:dyDescent="0.25">
      <c r="B324" s="277"/>
      <c r="C324" s="91"/>
      <c r="D324" s="280"/>
      <c r="E324" s="280"/>
      <c r="F324" s="280"/>
      <c r="I324" s="5"/>
      <c r="J324" s="5"/>
      <c r="K324" s="5"/>
      <c r="L324" s="275"/>
      <c r="M324" s="265"/>
      <c r="N324" s="51"/>
      <c r="O324" s="89"/>
      <c r="P324" s="272"/>
      <c r="V324" s="91"/>
      <c r="W324" s="280"/>
      <c r="Z324" s="276"/>
      <c r="AC324" s="1"/>
      <c r="AD324" s="91"/>
      <c r="AE324" s="280"/>
      <c r="AF324" s="4"/>
      <c r="AG324" s="5"/>
      <c r="AH324" s="276"/>
    </row>
    <row r="325" spans="2:34" ht="15" outlineLevel="1" x14ac:dyDescent="0.25">
      <c r="B325" s="277">
        <v>8.6999999999999993</v>
      </c>
      <c r="C325" s="281"/>
      <c r="D325" s="280"/>
      <c r="E325" s="280"/>
      <c r="F325" s="280"/>
      <c r="G325" s="47"/>
      <c r="I325" s="5"/>
      <c r="J325" s="5"/>
      <c r="K325" s="5"/>
      <c r="L325" s="275"/>
      <c r="M325" s="265"/>
      <c r="N325" s="51"/>
      <c r="O325" s="89"/>
      <c r="P325" s="272"/>
      <c r="V325" s="281"/>
      <c r="W325" s="280"/>
      <c r="X325" s="47"/>
      <c r="Z325" s="276"/>
      <c r="AC325" s="1"/>
      <c r="AD325" s="281"/>
      <c r="AE325" s="280"/>
      <c r="AF325" s="47"/>
      <c r="AG325" s="5"/>
      <c r="AH325" s="276"/>
    </row>
    <row r="326" spans="2:34" ht="34.5" customHeight="1" outlineLevel="1" x14ac:dyDescent="0.25">
      <c r="B326" s="277"/>
      <c r="C326" s="83"/>
      <c r="D326" s="280"/>
      <c r="E326" s="280"/>
      <c r="F326" s="280"/>
      <c r="G326" s="47"/>
      <c r="H326" s="280"/>
      <c r="I326" s="280"/>
      <c r="J326" s="280"/>
      <c r="K326" s="280"/>
      <c r="L326" s="275"/>
      <c r="M326" s="265"/>
      <c r="N326" s="51"/>
      <c r="O326" s="89"/>
      <c r="P326" s="272"/>
      <c r="V326" s="83"/>
      <c r="W326" s="280"/>
      <c r="X326" s="47"/>
      <c r="Y326" s="280"/>
      <c r="Z326" s="276"/>
      <c r="AC326" s="1"/>
      <c r="AD326" s="83"/>
      <c r="AE326" s="280"/>
      <c r="AF326" s="47"/>
      <c r="AG326" s="280"/>
      <c r="AH326" s="276"/>
    </row>
    <row r="327" spans="2:34" ht="138.75" customHeight="1" outlineLevel="1" x14ac:dyDescent="0.25">
      <c r="B327" s="277">
        <v>8.8000000000000007</v>
      </c>
      <c r="C327" s="154"/>
      <c r="D327" s="279"/>
      <c r="E327" s="279"/>
      <c r="F327" s="279"/>
      <c r="I327" s="5"/>
      <c r="J327" s="5"/>
      <c r="K327" s="5"/>
      <c r="L327" s="275"/>
      <c r="M327" s="265"/>
      <c r="N327" s="51"/>
      <c r="O327" s="89"/>
      <c r="P327" s="272"/>
      <c r="V327" s="154"/>
      <c r="W327" s="279"/>
      <c r="Z327" s="276"/>
      <c r="AC327" s="1"/>
      <c r="AD327" s="154"/>
      <c r="AE327" s="279"/>
      <c r="AF327" s="4"/>
      <c r="AG327" s="5"/>
      <c r="AH327" s="276"/>
    </row>
    <row r="328" spans="2:34" ht="15" outlineLevel="1" x14ac:dyDescent="0.25">
      <c r="B328" s="277"/>
      <c r="C328" s="154"/>
      <c r="D328" s="279"/>
      <c r="E328" s="279"/>
      <c r="F328" s="279"/>
      <c r="I328" s="5"/>
      <c r="J328" s="5"/>
      <c r="K328" s="5"/>
      <c r="L328" s="275"/>
      <c r="M328" s="265"/>
      <c r="N328" s="51"/>
      <c r="O328" s="89"/>
      <c r="P328" s="272"/>
      <c r="V328" s="154"/>
      <c r="W328" s="279"/>
      <c r="Z328" s="276"/>
      <c r="AC328" s="1"/>
      <c r="AD328" s="154"/>
      <c r="AE328" s="279"/>
      <c r="AF328" s="4"/>
      <c r="AG328" s="5"/>
      <c r="AH328" s="276"/>
    </row>
    <row r="329" spans="2:34" ht="15" outlineLevel="1" x14ac:dyDescent="0.25">
      <c r="B329" s="277"/>
      <c r="C329" s="83"/>
      <c r="D329" s="279"/>
      <c r="E329" s="279"/>
      <c r="F329" s="279"/>
      <c r="I329" s="5"/>
      <c r="J329" s="5"/>
      <c r="K329" s="5"/>
      <c r="L329" s="275"/>
      <c r="M329" s="265"/>
      <c r="N329" s="51"/>
      <c r="O329" s="89"/>
      <c r="P329" s="272"/>
      <c r="V329" s="83"/>
      <c r="W329" s="279"/>
      <c r="Z329" s="276"/>
      <c r="AC329" s="1"/>
      <c r="AD329" s="83"/>
      <c r="AE329" s="279"/>
      <c r="AF329" s="4"/>
      <c r="AG329" s="5"/>
      <c r="AH329" s="276"/>
    </row>
    <row r="330" spans="2:34" ht="15" outlineLevel="1" x14ac:dyDescent="0.25">
      <c r="B330" s="277"/>
      <c r="C330" s="154"/>
      <c r="D330" s="279"/>
      <c r="E330" s="279"/>
      <c r="F330" s="279"/>
      <c r="I330" s="5"/>
      <c r="J330" s="5"/>
      <c r="K330" s="5"/>
      <c r="L330" s="275"/>
      <c r="M330" s="265"/>
      <c r="N330" s="51"/>
      <c r="O330" s="89"/>
      <c r="P330" s="272"/>
      <c r="V330" s="154"/>
      <c r="W330" s="279"/>
      <c r="Z330" s="276"/>
      <c r="AC330" s="1"/>
      <c r="AD330" s="154"/>
      <c r="AE330" s="279"/>
      <c r="AF330" s="4"/>
      <c r="AG330" s="5"/>
      <c r="AH330" s="276"/>
    </row>
    <row r="331" spans="2:34" ht="15" outlineLevel="1" x14ac:dyDescent="0.25">
      <c r="B331" s="277"/>
      <c r="C331" s="154"/>
      <c r="D331" s="279"/>
      <c r="E331" s="279"/>
      <c r="F331" s="279"/>
      <c r="I331" s="5"/>
      <c r="J331" s="5"/>
      <c r="K331" s="5"/>
      <c r="L331" s="275"/>
      <c r="M331" s="265"/>
      <c r="N331" s="51"/>
      <c r="O331" s="89"/>
      <c r="P331" s="272"/>
      <c r="V331" s="154"/>
      <c r="W331" s="279"/>
      <c r="Z331" s="276"/>
      <c r="AC331" s="1"/>
      <c r="AD331" s="154"/>
      <c r="AE331" s="279"/>
      <c r="AF331" s="4"/>
      <c r="AG331" s="5"/>
      <c r="AH331" s="276"/>
    </row>
    <row r="332" spans="2:34" ht="15" outlineLevel="1" x14ac:dyDescent="0.25">
      <c r="B332" s="277">
        <v>8.9</v>
      </c>
      <c r="C332" s="83"/>
      <c r="D332" s="280"/>
      <c r="E332" s="280"/>
      <c r="F332" s="280"/>
      <c r="G332" s="47"/>
      <c r="I332" s="5"/>
      <c r="J332" s="5"/>
      <c r="K332" s="5"/>
      <c r="L332" s="275"/>
      <c r="M332" s="265"/>
      <c r="N332" s="51"/>
      <c r="O332" s="89"/>
      <c r="P332" s="272"/>
      <c r="V332" s="83"/>
      <c r="W332" s="280"/>
      <c r="X332" s="47"/>
      <c r="Z332" s="276"/>
      <c r="AC332" s="1"/>
      <c r="AD332" s="83"/>
      <c r="AE332" s="280"/>
      <c r="AF332" s="47"/>
      <c r="AG332" s="5"/>
      <c r="AH332" s="276"/>
    </row>
    <row r="333" spans="2:34" ht="15" outlineLevel="1" x14ac:dyDescent="0.25">
      <c r="B333" s="277"/>
      <c r="C333" s="75"/>
      <c r="D333" s="280"/>
      <c r="E333" s="280"/>
      <c r="F333" s="280"/>
      <c r="G333" s="47"/>
      <c r="I333" s="5"/>
      <c r="J333" s="5"/>
      <c r="K333" s="5"/>
      <c r="L333" s="275"/>
      <c r="M333" s="265"/>
      <c r="N333" s="51"/>
      <c r="O333" s="89"/>
      <c r="P333" s="272"/>
      <c r="V333" s="75"/>
      <c r="W333" s="280"/>
      <c r="X333" s="47"/>
      <c r="Z333" s="276"/>
      <c r="AC333" s="1"/>
      <c r="AD333" s="75"/>
      <c r="AE333" s="280"/>
      <c r="AF333" s="47"/>
      <c r="AG333" s="5"/>
      <c r="AH333" s="276"/>
    </row>
    <row r="334" spans="2:34" ht="15" outlineLevel="1" x14ac:dyDescent="0.25">
      <c r="B334" s="277" t="s">
        <v>207</v>
      </c>
      <c r="C334" s="158"/>
      <c r="D334" s="279"/>
      <c r="E334" s="279"/>
      <c r="F334" s="279"/>
      <c r="I334" s="5"/>
      <c r="J334" s="5"/>
      <c r="K334" s="5"/>
      <c r="L334" s="275"/>
      <c r="M334" s="265"/>
      <c r="N334" s="51"/>
      <c r="O334" s="89"/>
      <c r="P334" s="272"/>
      <c r="V334" s="158"/>
      <c r="W334" s="279"/>
      <c r="Z334" s="276"/>
      <c r="AC334" s="1"/>
      <c r="AD334" s="158"/>
      <c r="AE334" s="279"/>
      <c r="AF334" s="4"/>
      <c r="AG334" s="5"/>
      <c r="AH334" s="276"/>
    </row>
    <row r="335" spans="2:34" ht="15" outlineLevel="1" x14ac:dyDescent="0.25">
      <c r="B335" s="277" t="s">
        <v>208</v>
      </c>
      <c r="C335" s="158"/>
      <c r="D335" s="279"/>
      <c r="E335" s="279"/>
      <c r="F335" s="279"/>
      <c r="I335" s="5"/>
      <c r="J335" s="5"/>
      <c r="K335" s="5"/>
      <c r="L335" s="275"/>
      <c r="M335" s="265"/>
      <c r="N335" s="51"/>
      <c r="O335" s="89"/>
      <c r="P335" s="272"/>
      <c r="V335" s="158"/>
      <c r="W335" s="279"/>
      <c r="Z335" s="276"/>
      <c r="AC335" s="1"/>
      <c r="AD335" s="158"/>
      <c r="AE335" s="279"/>
      <c r="AF335" s="4"/>
      <c r="AG335" s="5"/>
      <c r="AH335" s="276"/>
    </row>
    <row r="336" spans="2:34" ht="15" outlineLevel="1" x14ac:dyDescent="0.25">
      <c r="B336" s="277" t="s">
        <v>209</v>
      </c>
      <c r="C336" s="278"/>
      <c r="D336" s="279"/>
      <c r="E336" s="279"/>
      <c r="F336" s="279"/>
      <c r="I336" s="5"/>
      <c r="J336" s="5"/>
      <c r="K336" s="5"/>
      <c r="L336" s="275"/>
      <c r="M336" s="265"/>
      <c r="N336" s="51"/>
      <c r="O336" s="89"/>
      <c r="P336" s="272"/>
      <c r="V336" s="278"/>
      <c r="W336" s="279"/>
      <c r="Z336" s="276"/>
      <c r="AC336" s="1"/>
      <c r="AD336" s="278"/>
      <c r="AE336" s="279"/>
      <c r="AF336" s="4"/>
      <c r="AG336" s="5"/>
      <c r="AH336" s="276"/>
    </row>
    <row r="337" spans="2:34" ht="15" outlineLevel="1" x14ac:dyDescent="0.25">
      <c r="B337" s="277"/>
      <c r="C337" s="154"/>
      <c r="D337" s="280"/>
      <c r="E337" s="280"/>
      <c r="F337" s="280"/>
      <c r="G337" s="47"/>
      <c r="I337" s="5"/>
      <c r="J337" s="5"/>
      <c r="K337" s="5"/>
      <c r="L337" s="275"/>
      <c r="M337" s="265"/>
      <c r="N337" s="51"/>
      <c r="O337" s="89"/>
      <c r="P337" s="272"/>
      <c r="V337" s="154"/>
      <c r="W337" s="280"/>
      <c r="X337" s="47"/>
      <c r="Z337" s="276"/>
      <c r="AC337" s="1"/>
      <c r="AD337" s="154"/>
      <c r="AE337" s="280"/>
      <c r="AF337" s="47"/>
      <c r="AG337" s="5"/>
      <c r="AH337" s="276"/>
    </row>
    <row r="338" spans="2:34" ht="15" outlineLevel="1" x14ac:dyDescent="0.25">
      <c r="B338" s="277" t="s">
        <v>210</v>
      </c>
      <c r="C338" s="83"/>
      <c r="D338" s="280"/>
      <c r="E338" s="280"/>
      <c r="F338" s="280"/>
      <c r="G338" s="47"/>
      <c r="I338" s="5"/>
      <c r="J338" s="5"/>
      <c r="K338" s="5"/>
      <c r="L338" s="275"/>
      <c r="M338" s="265"/>
      <c r="N338" s="51"/>
      <c r="O338" s="89"/>
      <c r="P338" s="272"/>
      <c r="V338" s="83"/>
      <c r="W338" s="280"/>
      <c r="X338" s="47"/>
      <c r="Z338" s="276"/>
      <c r="AC338" s="1"/>
      <c r="AD338" s="83"/>
      <c r="AE338" s="280"/>
      <c r="AF338" s="47"/>
      <c r="AG338" s="5"/>
      <c r="AH338" s="276"/>
    </row>
    <row r="339" spans="2:34" ht="15" outlineLevel="1" x14ac:dyDescent="0.25">
      <c r="B339" s="277" t="s">
        <v>211</v>
      </c>
      <c r="C339" s="158"/>
      <c r="D339" s="279"/>
      <c r="E339" s="279"/>
      <c r="F339" s="279"/>
      <c r="I339" s="5"/>
      <c r="J339" s="5"/>
      <c r="K339" s="5"/>
      <c r="L339" s="275"/>
      <c r="M339" s="265"/>
      <c r="N339" s="51"/>
      <c r="O339" s="89"/>
      <c r="P339" s="272"/>
      <c r="V339" s="158"/>
      <c r="W339" s="279"/>
      <c r="Z339" s="276"/>
      <c r="AC339" s="1"/>
      <c r="AD339" s="158"/>
      <c r="AE339" s="279"/>
      <c r="AF339" s="4"/>
      <c r="AG339" s="5"/>
      <c r="AH339" s="276"/>
    </row>
    <row r="340" spans="2:34" ht="15" outlineLevel="1" x14ac:dyDescent="0.25">
      <c r="B340" s="277"/>
      <c r="C340" s="158"/>
      <c r="D340" s="279"/>
      <c r="E340" s="279"/>
      <c r="F340" s="279"/>
      <c r="I340" s="5"/>
      <c r="J340" s="5"/>
      <c r="K340" s="5"/>
      <c r="L340" s="275"/>
      <c r="M340" s="265"/>
      <c r="N340" s="51"/>
      <c r="O340" s="89"/>
      <c r="P340" s="272"/>
      <c r="V340" s="158"/>
      <c r="W340" s="279"/>
      <c r="Z340" s="276"/>
      <c r="AC340" s="1"/>
      <c r="AD340" s="158"/>
      <c r="AE340" s="279"/>
      <c r="AF340" s="4"/>
      <c r="AG340" s="5"/>
      <c r="AH340" s="276"/>
    </row>
    <row r="341" spans="2:34" ht="15" outlineLevel="1" x14ac:dyDescent="0.25">
      <c r="B341" s="277"/>
      <c r="C341" s="83"/>
      <c r="D341" s="279"/>
      <c r="E341" s="279"/>
      <c r="F341" s="279"/>
      <c r="I341" s="5"/>
      <c r="J341" s="5"/>
      <c r="K341" s="5"/>
      <c r="L341" s="275"/>
      <c r="M341" s="265"/>
      <c r="N341" s="51"/>
      <c r="O341" s="89"/>
      <c r="P341" s="272"/>
      <c r="V341" s="83"/>
      <c r="W341" s="279"/>
      <c r="Z341" s="276"/>
      <c r="AC341" s="1"/>
      <c r="AD341" s="83"/>
      <c r="AE341" s="279"/>
      <c r="AF341" s="4"/>
      <c r="AG341" s="5"/>
      <c r="AH341" s="276"/>
    </row>
    <row r="342" spans="2:34" ht="15" outlineLevel="1" x14ac:dyDescent="0.25">
      <c r="B342" s="277" t="s">
        <v>212</v>
      </c>
      <c r="C342" s="158"/>
      <c r="D342" s="279"/>
      <c r="E342" s="279"/>
      <c r="F342" s="279"/>
      <c r="I342" s="5"/>
      <c r="J342" s="5"/>
      <c r="K342" s="5"/>
      <c r="L342" s="282"/>
      <c r="M342" s="265"/>
      <c r="N342" s="51"/>
      <c r="O342" s="89"/>
      <c r="P342" s="272"/>
      <c r="V342" s="158"/>
      <c r="W342" s="279"/>
      <c r="Z342" s="283"/>
      <c r="AC342" s="1"/>
      <c r="AD342" s="158"/>
      <c r="AE342" s="279"/>
      <c r="AF342" s="4"/>
      <c r="AG342" s="5"/>
      <c r="AH342" s="283"/>
    </row>
    <row r="343" spans="2:34" ht="15" outlineLevel="1" x14ac:dyDescent="0.25">
      <c r="B343" s="274"/>
      <c r="C343" s="205"/>
      <c r="D343" s="215"/>
      <c r="E343" s="215"/>
      <c r="F343" s="215"/>
      <c r="I343" s="5"/>
      <c r="J343" s="5"/>
      <c r="K343" s="5"/>
      <c r="L343" s="275"/>
      <c r="M343" s="265"/>
      <c r="N343" s="51"/>
      <c r="O343" s="89"/>
      <c r="P343" s="272"/>
      <c r="U343" s="58"/>
      <c r="V343" s="205"/>
      <c r="W343" s="215"/>
      <c r="Z343" s="276"/>
      <c r="AC343" s="58"/>
      <c r="AD343" s="205"/>
      <c r="AE343" s="215"/>
      <c r="AF343" s="4"/>
      <c r="AG343" s="5"/>
      <c r="AH343" s="276"/>
    </row>
    <row r="344" spans="2:34" ht="15" x14ac:dyDescent="0.25">
      <c r="B344" s="277"/>
      <c r="G344" s="296"/>
      <c r="H344" s="296"/>
      <c r="I344" s="118"/>
      <c r="J344" s="118"/>
      <c r="K344" s="118"/>
      <c r="L344" s="284"/>
      <c r="M344" s="265"/>
      <c r="N344" s="51"/>
      <c r="O344" s="89"/>
      <c r="P344" s="272"/>
      <c r="X344" s="296"/>
      <c r="Y344" s="296"/>
      <c r="Z344" s="119"/>
      <c r="AC344" s="1"/>
      <c r="AE344" s="3"/>
      <c r="AF344" s="296"/>
      <c r="AG344" s="296"/>
      <c r="AH344" s="119"/>
    </row>
    <row r="345" spans="2:34" ht="15.75" thickBot="1" x14ac:dyDescent="0.3">
      <c r="B345" s="285"/>
      <c r="G345" s="296"/>
      <c r="H345" s="296"/>
      <c r="I345" s="118"/>
      <c r="J345" s="118"/>
      <c r="K345" s="118"/>
      <c r="L345" s="286"/>
      <c r="M345" s="265"/>
      <c r="N345" s="51"/>
      <c r="O345" s="89"/>
      <c r="P345" s="272"/>
      <c r="X345" s="296"/>
      <c r="Y345" s="296"/>
      <c r="Z345" s="287"/>
      <c r="AC345" s="1"/>
      <c r="AE345" s="3"/>
      <c r="AF345" s="296"/>
      <c r="AG345" s="296"/>
      <c r="AH345" s="287"/>
    </row>
    <row r="346" spans="2:34" ht="15" x14ac:dyDescent="0.25">
      <c r="I346" s="5"/>
      <c r="J346" s="5"/>
      <c r="K346" s="5"/>
      <c r="M346" s="265"/>
      <c r="N346" s="51"/>
      <c r="O346" s="89"/>
      <c r="Z346" s="273"/>
      <c r="AC346" s="1"/>
      <c r="AE346" s="3"/>
      <c r="AF346" s="4"/>
      <c r="AG346" s="5"/>
      <c r="AH346" s="273"/>
    </row>
    <row r="347" spans="2:34" ht="15" x14ac:dyDescent="0.25">
      <c r="C347" s="81"/>
      <c r="I347" s="5"/>
      <c r="J347" s="5"/>
      <c r="K347" s="5"/>
      <c r="M347" s="265"/>
      <c r="N347" s="51"/>
      <c r="O347" s="89"/>
      <c r="V347" s="81"/>
      <c r="Z347" s="273"/>
      <c r="AC347" s="1"/>
      <c r="AD347" s="81"/>
      <c r="AE347" s="3"/>
      <c r="AF347" s="4"/>
      <c r="AG347" s="5"/>
      <c r="AH347" s="273"/>
    </row>
    <row r="348" spans="2:34" x14ac:dyDescent="0.25">
      <c r="O348" s="89"/>
      <c r="Z348" s="273"/>
      <c r="AH348" s="289"/>
    </row>
  </sheetData>
  <mergeCells count="85">
    <mergeCell ref="D3:G3"/>
    <mergeCell ref="W3:X3"/>
    <mergeCell ref="AE3:AF3"/>
    <mergeCell ref="D4:G4"/>
    <mergeCell ref="W4:X4"/>
    <mergeCell ref="AE4:AF4"/>
    <mergeCell ref="D5:G5"/>
    <mergeCell ref="W5:X5"/>
    <mergeCell ref="AE5:AF5"/>
    <mergeCell ref="D6:G6"/>
    <mergeCell ref="W6:X6"/>
    <mergeCell ref="AE6:AF6"/>
    <mergeCell ref="D14:G14"/>
    <mergeCell ref="E21:I21"/>
    <mergeCell ref="G16:K16"/>
    <mergeCell ref="E19:I19"/>
    <mergeCell ref="E20:I20"/>
    <mergeCell ref="B32:C32"/>
    <mergeCell ref="E22:I22"/>
    <mergeCell ref="E23:I23"/>
    <mergeCell ref="E24:I24"/>
    <mergeCell ref="E25:I25"/>
    <mergeCell ref="E26:I26"/>
    <mergeCell ref="E27:I27"/>
    <mergeCell ref="AF71:AG71"/>
    <mergeCell ref="E28:I28"/>
    <mergeCell ref="E29:I29"/>
    <mergeCell ref="E30:I30"/>
    <mergeCell ref="D31:G31"/>
    <mergeCell ref="H31:L31"/>
    <mergeCell ref="B33:C33"/>
    <mergeCell ref="U33:V33"/>
    <mergeCell ref="AC33:AD33"/>
    <mergeCell ref="G71:H71"/>
    <mergeCell ref="X71:Y71"/>
    <mergeCell ref="G72:H72"/>
    <mergeCell ref="X72:Y72"/>
    <mergeCell ref="AF72:AG72"/>
    <mergeCell ref="G95:H95"/>
    <mergeCell ref="X95:Y95"/>
    <mergeCell ref="AF95:AG95"/>
    <mergeCell ref="G96:H96"/>
    <mergeCell ref="X96:Y96"/>
    <mergeCell ref="AF96:AG96"/>
    <mergeCell ref="G135:H135"/>
    <mergeCell ref="X135:Y135"/>
    <mergeCell ref="AF135:AG135"/>
    <mergeCell ref="G136:H136"/>
    <mergeCell ref="X136:Y136"/>
    <mergeCell ref="AF136:AG136"/>
    <mergeCell ref="G160:H160"/>
    <mergeCell ref="X160:Y160"/>
    <mergeCell ref="AF160:AG160"/>
    <mergeCell ref="M149:P151"/>
    <mergeCell ref="G161:H161"/>
    <mergeCell ref="X161:Y161"/>
    <mergeCell ref="AF161:AG161"/>
    <mergeCell ref="G183:H183"/>
    <mergeCell ref="X183:Y183"/>
    <mergeCell ref="AF183:AG183"/>
    <mergeCell ref="G184:H184"/>
    <mergeCell ref="X184:Y184"/>
    <mergeCell ref="AF184:AG184"/>
    <mergeCell ref="G220:H220"/>
    <mergeCell ref="X220:Y220"/>
    <mergeCell ref="AF220:AG220"/>
    <mergeCell ref="M218:M223"/>
    <mergeCell ref="G221:H221"/>
    <mergeCell ref="X221:Y221"/>
    <mergeCell ref="AF221:AG221"/>
    <mergeCell ref="G305:H305"/>
    <mergeCell ref="X305:Y305"/>
    <mergeCell ref="AF305:AG305"/>
    <mergeCell ref="M302:M304"/>
    <mergeCell ref="M286:M288"/>
    <mergeCell ref="M259:M264"/>
    <mergeCell ref="G345:H345"/>
    <mergeCell ref="X345:Y345"/>
    <mergeCell ref="AF345:AG345"/>
    <mergeCell ref="G306:H306"/>
    <mergeCell ref="X306:Y306"/>
    <mergeCell ref="AF306:AG306"/>
    <mergeCell ref="G344:H344"/>
    <mergeCell ref="X344:Y344"/>
    <mergeCell ref="AF344:AG344"/>
  </mergeCells>
  <pageMargins left="0.23622047244094491" right="0.23622047244094491" top="0.74803149606299213" bottom="0.74803149606299213" header="0.31496062992125984" footer="0.31496062992125984"/>
  <pageSetup paperSize="9" scale="29" fitToHeight="0" orientation="landscape" horizontalDpi="4294967293" verticalDpi="300" r:id="rId1"/>
  <headerFooter differentFirst="1" alignWithMargins="0">
    <oddFooter>&amp;L&amp;F
&amp;D&amp;C&amp;P&amp;R&amp;G</oddFooter>
  </headerFooter>
  <rowBreaks count="9" manualBreakCount="9">
    <brk id="33" max="16383" man="1"/>
    <brk id="82" min="1" max="33" man="1"/>
    <brk id="97" max="16383" man="1"/>
    <brk id="136" min="1" max="28" man="1"/>
    <brk id="162" max="16383" man="1"/>
    <brk id="184" min="1" max="28" man="1"/>
    <brk id="222" min="1" max="28" man="1"/>
    <brk id="289" min="1" max="28" man="1"/>
    <brk id="306" min="1" max="28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Estimates</vt:lpstr>
      <vt:lpstr>'Cost Estimates'!Print_Area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Renaldo Lorio</dc:creator>
  <cp:lastModifiedBy>Venter, Emuel</cp:lastModifiedBy>
  <dcterms:created xsi:type="dcterms:W3CDTF">2026-06-16T22:07:34Z</dcterms:created>
  <dcterms:modified xsi:type="dcterms:W3CDTF">2026-07-07T18:48:38Z</dcterms:modified>
</cp:coreProperties>
</file>